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10" windowWidth="15590" windowHeight="6830" tabRatio="458" activeTab="1"/>
  </bookViews>
  <sheets>
    <sheet name="Top Sheet" sheetId="9" r:id="rId1"/>
    <sheet name="Summary New Year" sheetId="20" r:id="rId2"/>
    <sheet name="New Year-Full Year" sheetId="1" r:id="rId3"/>
    <sheet name="Benevolence" sheetId="31" r:id="rId4"/>
    <sheet name="Pastor" sheetId="21" r:id="rId5"/>
    <sheet name="Assoc. Pastor" sheetId="29" r:id="rId6"/>
    <sheet name="Band and Other Music" sheetId="22" r:id="rId7"/>
    <sheet name="Rates" sheetId="24" r:id="rId8"/>
    <sheet name="Pie Chart" sheetId="27" r:id="rId9"/>
    <sheet name="Expenses" sheetId="28" r:id="rId10"/>
  </sheets>
  <externalReferences>
    <externalReference r:id="rId11"/>
  </externalReferences>
  <definedNames>
    <definedName name="Bud_Yr">'Top Sheet'!$C$2</definedName>
    <definedName name="dddd" localSheetId="5">#REF!</definedName>
    <definedName name="dddd">#REF!</definedName>
    <definedName name="_xlnm.Print_Titles" localSheetId="9">Expenses!$2:$4</definedName>
    <definedName name="_xlnm.Print_Titles" localSheetId="2">'New Year-Full Year'!$2:$4</definedName>
    <definedName name="_xlnm.Print_Titles" localSheetId="1">'Summary New Year'!$1:$5</definedName>
  </definedNames>
  <calcPr calcId="124519"/>
</workbook>
</file>

<file path=xl/calcChain.xml><?xml version="1.0" encoding="utf-8"?>
<calcChain xmlns="http://schemas.openxmlformats.org/spreadsheetml/2006/main">
  <c r="C5" i="24"/>
  <c r="P90" i="1"/>
  <c r="C7" i="24"/>
  <c r="C8"/>
  <c r="C22"/>
  <c r="C21"/>
  <c r="AD77" i="1"/>
  <c r="AE77"/>
  <c r="AF77"/>
  <c r="AD78"/>
  <c r="AE78"/>
  <c r="AF78"/>
  <c r="AD79"/>
  <c r="AE79"/>
  <c r="AF79"/>
  <c r="AD80"/>
  <c r="AE80"/>
  <c r="AF80"/>
  <c r="AE76"/>
  <c r="AF76"/>
  <c r="AD76"/>
  <c r="AE75"/>
  <c r="AF75"/>
  <c r="AD75"/>
  <c r="V86"/>
  <c r="U86"/>
  <c r="U16"/>
  <c r="P152"/>
  <c r="P157"/>
  <c r="G4" i="20"/>
  <c r="P124" i="1"/>
  <c r="P117"/>
  <c r="P114"/>
  <c r="C19" i="29"/>
  <c r="B19"/>
  <c r="C57"/>
  <c r="C56"/>
  <c r="C55"/>
  <c r="C54"/>
  <c r="B33"/>
  <c r="C33" s="1"/>
  <c r="B13"/>
  <c r="C13"/>
  <c r="I62" i="21"/>
  <c r="C6" i="31"/>
  <c r="E6" s="1"/>
  <c r="P7" i="1"/>
  <c r="Q130"/>
  <c r="D13" i="22"/>
  <c r="P130" i="1" s="1"/>
  <c r="D17" i="31"/>
  <c r="E16"/>
  <c r="F16"/>
  <c r="B117" i="20"/>
  <c r="B116"/>
  <c r="B115"/>
  <c r="B113"/>
  <c r="B112"/>
  <c r="B110"/>
  <c r="B103"/>
  <c r="B102"/>
  <c r="B100"/>
  <c r="B99"/>
  <c r="B92"/>
  <c r="B90"/>
  <c r="B82"/>
  <c r="B81"/>
  <c r="B71"/>
  <c r="B70"/>
  <c r="B63"/>
  <c r="B61"/>
  <c r="B54"/>
  <c r="B52"/>
  <c r="B50"/>
  <c r="B47"/>
  <c r="B45"/>
  <c r="B43"/>
  <c r="B39"/>
  <c r="B37"/>
  <c r="B29"/>
  <c r="B23"/>
  <c r="B22"/>
  <c r="B14"/>
  <c r="B7"/>
  <c r="C30" i="1"/>
  <c r="C26" i="20" s="1"/>
  <c r="E8" i="31"/>
  <c r="F8"/>
  <c r="E9"/>
  <c r="F9"/>
  <c r="E10"/>
  <c r="F10"/>
  <c r="E11"/>
  <c r="F11"/>
  <c r="E12"/>
  <c r="F12"/>
  <c r="E13"/>
  <c r="F13"/>
  <c r="E14"/>
  <c r="F14"/>
  <c r="E15"/>
  <c r="F15"/>
  <c r="F7"/>
  <c r="E7"/>
  <c r="E4"/>
  <c r="D4"/>
  <c r="C4"/>
  <c r="W142" i="1"/>
  <c r="F6" i="31" l="1"/>
  <c r="C17"/>
  <c r="E17"/>
  <c r="I31" i="21"/>
  <c r="K76" i="20"/>
  <c r="J76"/>
  <c r="P135" i="1"/>
  <c r="P129"/>
  <c r="P80"/>
  <c r="B4" i="29"/>
  <c r="B5"/>
  <c r="I10" i="21"/>
  <c r="C55" i="22"/>
  <c r="C57" s="1"/>
  <c r="C60" s="1"/>
  <c r="C44"/>
  <c r="C46" s="1"/>
  <c r="C49" s="1"/>
  <c r="C37"/>
  <c r="C36"/>
  <c r="C34"/>
  <c r="C22"/>
  <c r="C28" s="1"/>
  <c r="C20"/>
  <c r="C17"/>
  <c r="I14" i="21"/>
  <c r="G45"/>
  <c r="I35"/>
  <c r="C52" i="22" l="1"/>
  <c r="C53" s="1"/>
  <c r="C21"/>
  <c r="C29" s="1"/>
  <c r="C30" s="1"/>
  <c r="C39"/>
  <c r="C42" s="1"/>
  <c r="G14" i="21"/>
  <c r="B6" i="29"/>
  <c r="B8"/>
  <c r="B7"/>
  <c r="P108" i="1"/>
  <c r="P109"/>
  <c r="P100"/>
  <c r="R100" s="1"/>
  <c r="B49" i="29"/>
  <c r="B41"/>
  <c r="B21"/>
  <c r="B12"/>
  <c r="C42" i="24"/>
  <c r="C41"/>
  <c r="C38"/>
  <c r="C37"/>
  <c r="C36"/>
  <c r="C35"/>
  <c r="C32"/>
  <c r="C31"/>
  <c r="C28"/>
  <c r="C27"/>
  <c r="C26"/>
  <c r="C25"/>
  <c r="C20"/>
  <c r="W105" i="1"/>
  <c r="S105"/>
  <c r="P105"/>
  <c r="R105" s="1"/>
  <c r="P165"/>
  <c r="W110"/>
  <c r="P110"/>
  <c r="S110"/>
  <c r="V111"/>
  <c r="U111"/>
  <c r="Q111"/>
  <c r="AJ109"/>
  <c r="AI109"/>
  <c r="AH109"/>
  <c r="W109"/>
  <c r="S109"/>
  <c r="W108"/>
  <c r="S108"/>
  <c r="W107"/>
  <c r="S107"/>
  <c r="W106"/>
  <c r="W104"/>
  <c r="S104"/>
  <c r="R104"/>
  <c r="W103"/>
  <c r="S103"/>
  <c r="W102"/>
  <c r="S102"/>
  <c r="R102"/>
  <c r="W101"/>
  <c r="S101"/>
  <c r="W100"/>
  <c r="S100"/>
  <c r="Q87"/>
  <c r="B9" i="29" l="1"/>
  <c r="B23"/>
  <c r="C62" i="22"/>
  <c r="C23"/>
  <c r="D54" i="29"/>
  <c r="B59"/>
  <c r="AH111" i="1"/>
  <c r="C59" i="29"/>
  <c r="R110" i="1"/>
  <c r="P107"/>
  <c r="R107" s="1"/>
  <c r="W99"/>
  <c r="R108"/>
  <c r="R109"/>
  <c r="W111"/>
  <c r="AI111"/>
  <c r="AJ111"/>
  <c r="S99"/>
  <c r="P166"/>
  <c r="H142"/>
  <c r="F142" s="1"/>
  <c r="D57" i="29"/>
  <c r="D49"/>
  <c r="C49"/>
  <c r="D42"/>
  <c r="C41"/>
  <c r="D23"/>
  <c r="C21"/>
  <c r="P95" i="1"/>
  <c r="P93"/>
  <c r="P87"/>
  <c r="I63" i="21"/>
  <c r="P94" i="1"/>
  <c r="I51" i="21"/>
  <c r="I29"/>
  <c r="B28" i="29" l="1"/>
  <c r="B30" s="1"/>
  <c r="B39" s="1"/>
  <c r="B40" s="1"/>
  <c r="B42" s="1"/>
  <c r="B43" s="1"/>
  <c r="D59"/>
  <c r="I41" i="21"/>
  <c r="I36"/>
  <c r="C23" i="29"/>
  <c r="C28" s="1"/>
  <c r="C12"/>
  <c r="D28"/>
  <c r="D30" s="1"/>
  <c r="B50" l="1"/>
  <c r="B51" s="1"/>
  <c r="B61" s="1"/>
  <c r="B63" s="1"/>
  <c r="P99" i="1"/>
  <c r="D50" i="29"/>
  <c r="D51" s="1"/>
  <c r="D61" s="1"/>
  <c r="R99" i="1" l="1"/>
  <c r="C30" i="29"/>
  <c r="P101" i="1"/>
  <c r="R101" s="1"/>
  <c r="C50" i="29" l="1"/>
  <c r="C51" s="1"/>
  <c r="P106" i="1" s="1"/>
  <c r="C39" i="29"/>
  <c r="C40" s="1"/>
  <c r="C42" s="1"/>
  <c r="P103" i="1" s="1"/>
  <c r="R103" s="1"/>
  <c r="C61" i="29" l="1"/>
  <c r="P111" i="1"/>
  <c r="C43" i="29"/>
  <c r="Q165" i="1" l="1"/>
  <c r="AG165" s="1"/>
  <c r="H146"/>
  <c r="F146" s="1"/>
  <c r="Q142"/>
  <c r="Q119"/>
  <c r="Q117"/>
  <c r="S117" s="1"/>
  <c r="Q95"/>
  <c r="Q93"/>
  <c r="Q48"/>
  <c r="AK175"/>
  <c r="AG175"/>
  <c r="AK173"/>
  <c r="AG173"/>
  <c r="AK172"/>
  <c r="AG172"/>
  <c r="AK171"/>
  <c r="AG171"/>
  <c r="AK170"/>
  <c r="AK160"/>
  <c r="AK161"/>
  <c r="AK163"/>
  <c r="AK164"/>
  <c r="AK165"/>
  <c r="AK166"/>
  <c r="AG161"/>
  <c r="AG164"/>
  <c r="AG166"/>
  <c r="AK159"/>
  <c r="AH153"/>
  <c r="AD153"/>
  <c r="AH149"/>
  <c r="AK144"/>
  <c r="AF152"/>
  <c r="AE152"/>
  <c r="AD152"/>
  <c r="AF147"/>
  <c r="AE147"/>
  <c r="AD147"/>
  <c r="AF143"/>
  <c r="AE143"/>
  <c r="AD143"/>
  <c r="AJ141"/>
  <c r="AJ150" s="1"/>
  <c r="AI141"/>
  <c r="AI152" s="1"/>
  <c r="AH141"/>
  <c r="AH148" s="1"/>
  <c r="AH119"/>
  <c r="AI119"/>
  <c r="AJ119"/>
  <c r="AH138"/>
  <c r="AI137"/>
  <c r="AI136"/>
  <c r="AE137"/>
  <c r="AH135"/>
  <c r="AH134"/>
  <c r="AH133"/>
  <c r="AH132"/>
  <c r="AH131"/>
  <c r="AH130"/>
  <c r="AH129"/>
  <c r="AD131"/>
  <c r="AI125"/>
  <c r="AI124"/>
  <c r="AI95"/>
  <c r="AJ95"/>
  <c r="AH95"/>
  <c r="AH80"/>
  <c r="AH79"/>
  <c r="AH78"/>
  <c r="AH77"/>
  <c r="AH76"/>
  <c r="AH75"/>
  <c r="AH70"/>
  <c r="AH69"/>
  <c r="AI68"/>
  <c r="AI67"/>
  <c r="AH66"/>
  <c r="AH65"/>
  <c r="AD70"/>
  <c r="AD69"/>
  <c r="AF68"/>
  <c r="AF67"/>
  <c r="AD66"/>
  <c r="AD65"/>
  <c r="AJ30"/>
  <c r="AH59"/>
  <c r="AH58"/>
  <c r="AD59"/>
  <c r="AD58"/>
  <c r="AJ62"/>
  <c r="AF62"/>
  <c r="AI54"/>
  <c r="AE54"/>
  <c r="AE44"/>
  <c r="AH51"/>
  <c r="AH50"/>
  <c r="AH49"/>
  <c r="AH48"/>
  <c r="AD49"/>
  <c r="AD50"/>
  <c r="AD51"/>
  <c r="AD48"/>
  <c r="AI36"/>
  <c r="AI39"/>
  <c r="AI41"/>
  <c r="AI42"/>
  <c r="AI43"/>
  <c r="AI44"/>
  <c r="AE36"/>
  <c r="AE39"/>
  <c r="AE41"/>
  <c r="AE42"/>
  <c r="AE43"/>
  <c r="AE34"/>
  <c r="AI34"/>
  <c r="AH3"/>
  <c r="AD3"/>
  <c r="C69" i="20"/>
  <c r="E69"/>
  <c r="F69"/>
  <c r="H69" s="1"/>
  <c r="J69"/>
  <c r="K69"/>
  <c r="L69" s="1"/>
  <c r="V81" i="1"/>
  <c r="U81"/>
  <c r="Q81"/>
  <c r="P81"/>
  <c r="W80"/>
  <c r="S80"/>
  <c r="R80"/>
  <c r="C9" i="20"/>
  <c r="E9"/>
  <c r="F9"/>
  <c r="H9" s="1"/>
  <c r="J9"/>
  <c r="K9"/>
  <c r="L9" s="1"/>
  <c r="W8" i="1"/>
  <c r="S8"/>
  <c r="R8"/>
  <c r="C12" i="24"/>
  <c r="R130" i="1"/>
  <c r="W134"/>
  <c r="W130"/>
  <c r="F44" i="22"/>
  <c r="D44"/>
  <c r="D46" s="1"/>
  <c r="D49" s="1"/>
  <c r="D36"/>
  <c r="D37"/>
  <c r="D20"/>
  <c r="D7"/>
  <c r="D15" s="1"/>
  <c r="D17" s="1"/>
  <c r="C105" i="20"/>
  <c r="E105"/>
  <c r="F105"/>
  <c r="H105" s="1"/>
  <c r="J105"/>
  <c r="K105"/>
  <c r="L105" s="1"/>
  <c r="P142" i="1"/>
  <c r="W117"/>
  <c r="G62" i="21"/>
  <c r="Q94" i="1" s="1"/>
  <c r="W118"/>
  <c r="S118"/>
  <c r="R118"/>
  <c r="W116"/>
  <c r="S116"/>
  <c r="R116"/>
  <c r="W115"/>
  <c r="S115"/>
  <c r="R115"/>
  <c r="G69" i="20" l="1"/>
  <c r="G9"/>
  <c r="G105"/>
  <c r="AE142" i="1"/>
  <c r="AH147"/>
  <c r="R106"/>
  <c r="R111" s="1"/>
  <c r="S106"/>
  <c r="AI150"/>
  <c r="AI142"/>
  <c r="AI147"/>
  <c r="C15" i="24"/>
  <c r="AH142" i="1"/>
  <c r="AH152"/>
  <c r="AH150"/>
  <c r="AD142"/>
  <c r="D52" i="22"/>
  <c r="D53" s="1"/>
  <c r="P133" i="1" s="1"/>
  <c r="AD133" s="1"/>
  <c r="AK190"/>
  <c r="R117"/>
  <c r="AJ143"/>
  <c r="AJ148"/>
  <c r="AI151"/>
  <c r="AJ151"/>
  <c r="AF142"/>
  <c r="AI143"/>
  <c r="AI148"/>
  <c r="AH151"/>
  <c r="AJ152"/>
  <c r="AJ142"/>
  <c r="AH143"/>
  <c r="AJ147"/>
  <c r="AD130"/>
  <c r="S130"/>
  <c r="D22" i="22"/>
  <c r="D28" s="1"/>
  <c r="D21"/>
  <c r="D29" s="1"/>
  <c r="D55"/>
  <c r="D57" s="1"/>
  <c r="D60" s="1"/>
  <c r="P149" i="1" s="1"/>
  <c r="AD149" s="1"/>
  <c r="D32" i="22"/>
  <c r="D34" s="1"/>
  <c r="D39" s="1"/>
  <c r="D42" s="1"/>
  <c r="P134" i="1" s="1"/>
  <c r="R134" s="1"/>
  <c r="G31" i="21"/>
  <c r="G36" s="1"/>
  <c r="G29"/>
  <c r="D29"/>
  <c r="W94" i="1"/>
  <c r="H63" i="21"/>
  <c r="D63"/>
  <c r="E63"/>
  <c r="F63"/>
  <c r="G63"/>
  <c r="C63"/>
  <c r="H62"/>
  <c r="H42"/>
  <c r="H17"/>
  <c r="H51"/>
  <c r="E3"/>
  <c r="E51"/>
  <c r="E27"/>
  <c r="E29" s="1"/>
  <c r="E31" s="1"/>
  <c r="E14"/>
  <c r="D53"/>
  <c r="D51"/>
  <c r="F51"/>
  <c r="G51"/>
  <c r="C51"/>
  <c r="AF111" i="1" l="1"/>
  <c r="AD111"/>
  <c r="S111"/>
  <c r="AE111"/>
  <c r="AD134"/>
  <c r="S134"/>
  <c r="D23" i="22"/>
  <c r="D30"/>
  <c r="R94" i="1"/>
  <c r="S94"/>
  <c r="E36" i="21"/>
  <c r="D36"/>
  <c r="D54" s="1"/>
  <c r="D5"/>
  <c r="D8"/>
  <c r="D14"/>
  <c r="C14"/>
  <c r="F14"/>
  <c r="F27"/>
  <c r="F29" s="1"/>
  <c r="F31" s="1"/>
  <c r="G41"/>
  <c r="C8"/>
  <c r="C27" s="1"/>
  <c r="C29" s="1"/>
  <c r="C31" s="1"/>
  <c r="B5"/>
  <c r="AE136" i="1"/>
  <c r="AG170"/>
  <c r="AG163"/>
  <c r="AG160"/>
  <c r="AG159"/>
  <c r="Q150"/>
  <c r="H150"/>
  <c r="Q144"/>
  <c r="M138"/>
  <c r="I138"/>
  <c r="E138"/>
  <c r="W183"/>
  <c r="S183"/>
  <c r="R183"/>
  <c r="L142"/>
  <c r="W143"/>
  <c r="S143"/>
  <c r="R143"/>
  <c r="P132" l="1"/>
  <c r="AD132" s="1"/>
  <c r="D62" i="22"/>
  <c r="D63" s="1"/>
  <c r="D64" s="1"/>
  <c r="D41" i="21"/>
  <c r="H22"/>
  <c r="H24" s="1"/>
  <c r="F36"/>
  <c r="F53"/>
  <c r="E41"/>
  <c r="E54"/>
  <c r="C36"/>
  <c r="C53"/>
  <c r="B6"/>
  <c r="S142" i="1"/>
  <c r="K108" i="20"/>
  <c r="J108"/>
  <c r="F108"/>
  <c r="E108"/>
  <c r="G108" l="1"/>
  <c r="L108"/>
  <c r="H52" i="21"/>
  <c r="H55" s="1"/>
  <c r="H56" s="1"/>
  <c r="H65" s="1"/>
  <c r="G3"/>
  <c r="G6" s="1"/>
  <c r="G11" s="1"/>
  <c r="I6" s="1"/>
  <c r="I11" s="1"/>
  <c r="C3"/>
  <c r="C6" s="1"/>
  <c r="D3"/>
  <c r="D6" s="1"/>
  <c r="D11" s="1"/>
  <c r="C41"/>
  <c r="C54"/>
  <c r="F41"/>
  <c r="F54"/>
  <c r="H108" i="20"/>
  <c r="R142" i="1"/>
  <c r="I3" i="21" l="1"/>
  <c r="I17"/>
  <c r="I22" s="1"/>
  <c r="D17"/>
  <c r="D22" s="1"/>
  <c r="D24" s="1"/>
  <c r="G17"/>
  <c r="Q86" i="1" s="1"/>
  <c r="C11" i="21"/>
  <c r="C17" s="1"/>
  <c r="F11"/>
  <c r="F17" s="1"/>
  <c r="P86" i="1" l="1"/>
  <c r="P88"/>
  <c r="D39" i="21"/>
  <c r="D40" s="1"/>
  <c r="D52"/>
  <c r="D55" s="1"/>
  <c r="D56" s="1"/>
  <c r="G22"/>
  <c r="Q88" i="1" s="1"/>
  <c r="C22" i="21"/>
  <c r="C24" s="1"/>
  <c r="F22"/>
  <c r="F24" s="1"/>
  <c r="W150" i="1"/>
  <c r="D65" i="21" l="1"/>
  <c r="D69" s="1"/>
  <c r="I24"/>
  <c r="I45" s="1"/>
  <c r="G24"/>
  <c r="G52" s="1"/>
  <c r="G55" s="1"/>
  <c r="G56" s="1"/>
  <c r="Q92" i="1" s="1"/>
  <c r="D42" i="21"/>
  <c r="D43" s="1"/>
  <c r="D44" s="1"/>
  <c r="F39"/>
  <c r="F40" s="1"/>
  <c r="F42" s="1"/>
  <c r="F65" s="1"/>
  <c r="F69" s="1"/>
  <c r="F52"/>
  <c r="F55" s="1"/>
  <c r="F56" s="1"/>
  <c r="C39"/>
  <c r="C40" s="1"/>
  <c r="C42" s="1"/>
  <c r="C52"/>
  <c r="C55" s="1"/>
  <c r="C56" s="1"/>
  <c r="V120" i="1"/>
  <c r="U120"/>
  <c r="Q120"/>
  <c r="F78" i="20" s="1"/>
  <c r="P120" i="1"/>
  <c r="E78" i="20" s="1"/>
  <c r="H78" l="1"/>
  <c r="I39" i="21"/>
  <c r="I40" s="1"/>
  <c r="I42" s="1"/>
  <c r="I52"/>
  <c r="I55" s="1"/>
  <c r="I56" s="1"/>
  <c r="C65"/>
  <c r="C69" s="1"/>
  <c r="AH120" i="1"/>
  <c r="AI120"/>
  <c r="AJ120"/>
  <c r="AD120"/>
  <c r="AF120"/>
  <c r="AE120"/>
  <c r="G39" i="21"/>
  <c r="C43"/>
  <c r="C44" s="1"/>
  <c r="F43"/>
  <c r="F44" s="1"/>
  <c r="W186" i="1"/>
  <c r="S186"/>
  <c r="W90"/>
  <c r="S91"/>
  <c r="W89"/>
  <c r="S89"/>
  <c r="R89"/>
  <c r="C6" i="24" l="1"/>
  <c r="I43" i="21"/>
  <c r="I65"/>
  <c r="P92" i="1"/>
  <c r="G40" i="21"/>
  <c r="G42" s="1"/>
  <c r="W91" i="1"/>
  <c r="R186"/>
  <c r="R91"/>
  <c r="G65" i="21" l="1"/>
  <c r="Q90" i="1"/>
  <c r="G43" i="21"/>
  <c r="P96" i="1"/>
  <c r="AE124"/>
  <c r="L146"/>
  <c r="X146" s="1"/>
  <c r="L145"/>
  <c r="L144"/>
  <c r="L150"/>
  <c r="H145"/>
  <c r="F145" s="1"/>
  <c r="H144"/>
  <c r="F144" s="1"/>
  <c r="X144" s="1"/>
  <c r="L125"/>
  <c r="F125"/>
  <c r="C11" i="24" l="1"/>
  <c r="X125" i="1"/>
  <c r="I66" i="21"/>
  <c r="I67" s="1"/>
  <c r="AE96" i="1"/>
  <c r="AF96"/>
  <c r="AD96"/>
  <c r="X145"/>
  <c r="C14" i="24"/>
  <c r="C13"/>
  <c r="P125" i="1"/>
  <c r="AE125" s="1"/>
  <c r="P144"/>
  <c r="F150"/>
  <c r="C16" i="24" s="1"/>
  <c r="M81" i="1"/>
  <c r="I81"/>
  <c r="E81"/>
  <c r="X4"/>
  <c r="U2"/>
  <c r="R3"/>
  <c r="Q3"/>
  <c r="P3"/>
  <c r="AG144" l="1"/>
  <c r="AG190" s="1"/>
  <c r="R90"/>
  <c r="S90"/>
  <c r="P150"/>
  <c r="G87" s="1"/>
  <c r="X150"/>
  <c r="W133"/>
  <c r="S133"/>
  <c r="AF150" l="1"/>
  <c r="AE150"/>
  <c r="AD150"/>
  <c r="R133"/>
  <c r="W49" l="1"/>
  <c r="S49"/>
  <c r="R49"/>
  <c r="S150"/>
  <c r="R150"/>
  <c r="C10" i="20"/>
  <c r="C11"/>
  <c r="C12"/>
  <c r="C13"/>
  <c r="C8"/>
  <c r="C18"/>
  <c r="C19"/>
  <c r="C20"/>
  <c r="C21"/>
  <c r="C17"/>
  <c r="C31"/>
  <c r="C32"/>
  <c r="C33"/>
  <c r="C34"/>
  <c r="C35"/>
  <c r="C36"/>
  <c r="C30"/>
  <c r="C41"/>
  <c r="C42"/>
  <c r="C40"/>
  <c r="C49"/>
  <c r="C48"/>
  <c r="C56"/>
  <c r="C57"/>
  <c r="C58"/>
  <c r="C59"/>
  <c r="C60"/>
  <c r="C55"/>
  <c r="C65"/>
  <c r="C66"/>
  <c r="C67"/>
  <c r="C68"/>
  <c r="C64"/>
  <c r="C84"/>
  <c r="C85"/>
  <c r="C86"/>
  <c r="C87"/>
  <c r="C88"/>
  <c r="C89"/>
  <c r="C83"/>
  <c r="C94"/>
  <c r="C95"/>
  <c r="C96"/>
  <c r="C97"/>
  <c r="C98"/>
  <c r="C93"/>
  <c r="C106"/>
  <c r="C107"/>
  <c r="C109"/>
  <c r="C104"/>
  <c r="P138" i="1"/>
  <c r="AD138" s="1"/>
  <c r="AD135"/>
  <c r="AD129"/>
  <c r="G88" l="1"/>
  <c r="G89" s="1"/>
  <c r="W182"/>
  <c r="Q188" l="1"/>
  <c r="K104" i="20" l="1"/>
  <c r="J104"/>
  <c r="F104"/>
  <c r="S182" i="1"/>
  <c r="E104" i="20" l="1"/>
  <c r="G104" s="1"/>
  <c r="R182" i="1"/>
  <c r="Q27" l="1"/>
  <c r="Q28"/>
  <c r="Q167"/>
  <c r="Q177"/>
  <c r="Q139"/>
  <c r="Q151" s="1"/>
  <c r="F76" i="20" s="1"/>
  <c r="Q96" i="1"/>
  <c r="Q126"/>
  <c r="Q72"/>
  <c r="Q60"/>
  <c r="Q52"/>
  <c r="F75" i="20" l="1"/>
  <c r="F79" s="1"/>
  <c r="Q154" i="1"/>
  <c r="Q155" s="1"/>
  <c r="Q178"/>
  <c r="J3" i="20"/>
  <c r="K11" l="1"/>
  <c r="K12"/>
  <c r="J11"/>
  <c r="J12"/>
  <c r="E59"/>
  <c r="G59" s="1"/>
  <c r="F59"/>
  <c r="J59"/>
  <c r="K59"/>
  <c r="H59" l="1"/>
  <c r="L59"/>
  <c r="W69" i="1"/>
  <c r="S69"/>
  <c r="R69" l="1"/>
  <c r="E35" i="20" l="1"/>
  <c r="G35" s="1"/>
  <c r="F35"/>
  <c r="J35"/>
  <c r="K35"/>
  <c r="L35" l="1"/>
  <c r="H35"/>
  <c r="R187" i="1"/>
  <c r="R185"/>
  <c r="R184"/>
  <c r="R176"/>
  <c r="R175"/>
  <c r="R173"/>
  <c r="R172"/>
  <c r="R171"/>
  <c r="R170"/>
  <c r="R166"/>
  <c r="R165"/>
  <c r="R164"/>
  <c r="R163"/>
  <c r="R161"/>
  <c r="R160"/>
  <c r="R159"/>
  <c r="R153"/>
  <c r="R149"/>
  <c r="R147"/>
  <c r="R138"/>
  <c r="R137"/>
  <c r="R136"/>
  <c r="R131"/>
  <c r="R129"/>
  <c r="R125"/>
  <c r="R119"/>
  <c r="R114"/>
  <c r="R95"/>
  <c r="R93"/>
  <c r="R92"/>
  <c r="R88"/>
  <c r="R87"/>
  <c r="R86"/>
  <c r="R77"/>
  <c r="R76"/>
  <c r="R75"/>
  <c r="R68"/>
  <c r="R67"/>
  <c r="R62"/>
  <c r="R59"/>
  <c r="R58"/>
  <c r="R54"/>
  <c r="R50"/>
  <c r="R48"/>
  <c r="R43"/>
  <c r="R42"/>
  <c r="R41"/>
  <c r="R39"/>
  <c r="R36"/>
  <c r="R120" l="1"/>
  <c r="R167"/>
  <c r="R177"/>
  <c r="R60"/>
  <c r="R188"/>
  <c r="R96"/>
  <c r="R178" l="1"/>
  <c r="S43" l="1"/>
  <c r="W43"/>
  <c r="F4" i="20" l="1"/>
  <c r="E4"/>
  <c r="K4"/>
  <c r="J4"/>
  <c r="W54" i="1"/>
  <c r="S54"/>
  <c r="K45" i="20"/>
  <c r="J45"/>
  <c r="F45"/>
  <c r="E45"/>
  <c r="G45" l="1"/>
  <c r="H45"/>
  <c r="L45"/>
  <c r="K109" l="1"/>
  <c r="K106"/>
  <c r="K98"/>
  <c r="K97"/>
  <c r="K96"/>
  <c r="K95"/>
  <c r="K94"/>
  <c r="K93"/>
  <c r="K89"/>
  <c r="K88"/>
  <c r="K87"/>
  <c r="K86"/>
  <c r="K85"/>
  <c r="K84"/>
  <c r="K83"/>
  <c r="K68"/>
  <c r="K67"/>
  <c r="K66"/>
  <c r="K65"/>
  <c r="K64"/>
  <c r="K60"/>
  <c r="K58"/>
  <c r="K57"/>
  <c r="K52"/>
  <c r="K49"/>
  <c r="K48"/>
  <c r="K42"/>
  <c r="K41"/>
  <c r="K40"/>
  <c r="K36"/>
  <c r="K34"/>
  <c r="K32"/>
  <c r="K31"/>
  <c r="K30"/>
  <c r="K26"/>
  <c r="K17"/>
  <c r="K13"/>
  <c r="K10"/>
  <c r="K8"/>
  <c r="J107"/>
  <c r="J106"/>
  <c r="J98"/>
  <c r="J97"/>
  <c r="J96"/>
  <c r="J95"/>
  <c r="J94"/>
  <c r="J93"/>
  <c r="J89"/>
  <c r="J88"/>
  <c r="J87"/>
  <c r="J86"/>
  <c r="J85"/>
  <c r="J84"/>
  <c r="J83"/>
  <c r="J68"/>
  <c r="J67"/>
  <c r="J66"/>
  <c r="J65"/>
  <c r="J64"/>
  <c r="J60"/>
  <c r="J58"/>
  <c r="J57"/>
  <c r="J52"/>
  <c r="J49"/>
  <c r="J48"/>
  <c r="J42"/>
  <c r="J41"/>
  <c r="J40"/>
  <c r="J36"/>
  <c r="J34"/>
  <c r="J33"/>
  <c r="J32"/>
  <c r="J31"/>
  <c r="J30"/>
  <c r="J26"/>
  <c r="J21"/>
  <c r="J20"/>
  <c r="J18"/>
  <c r="J17"/>
  <c r="J13"/>
  <c r="J10"/>
  <c r="J8"/>
  <c r="W93" i="1"/>
  <c r="S93"/>
  <c r="J70" i="20" l="1"/>
  <c r="K70"/>
  <c r="K50"/>
  <c r="J90"/>
  <c r="J37"/>
  <c r="J14"/>
  <c r="J43"/>
  <c r="K90"/>
  <c r="K99"/>
  <c r="J50"/>
  <c r="J99"/>
  <c r="K14"/>
  <c r="K43"/>
  <c r="J100" l="1"/>
  <c r="K100"/>
  <c r="W137" i="1"/>
  <c r="S137"/>
  <c r="R78"/>
  <c r="R81" s="1"/>
  <c r="R79"/>
  <c r="R66"/>
  <c r="R70"/>
  <c r="R65"/>
  <c r="R51"/>
  <c r="R44"/>
  <c r="W88"/>
  <c r="S88"/>
  <c r="R52" l="1"/>
  <c r="R72"/>
  <c r="F31" i="20"/>
  <c r="F32"/>
  <c r="F33"/>
  <c r="F34"/>
  <c r="F36"/>
  <c r="F40"/>
  <c r="F41"/>
  <c r="F42"/>
  <c r="F48"/>
  <c r="F49"/>
  <c r="F52"/>
  <c r="F55"/>
  <c r="F56"/>
  <c r="F57"/>
  <c r="F58"/>
  <c r="F60"/>
  <c r="F64"/>
  <c r="F65"/>
  <c r="F66"/>
  <c r="F67"/>
  <c r="F68"/>
  <c r="F83"/>
  <c r="F84"/>
  <c r="F85"/>
  <c r="F86"/>
  <c r="F87"/>
  <c r="F88"/>
  <c r="F89"/>
  <c r="F93"/>
  <c r="F94"/>
  <c r="F95"/>
  <c r="F96"/>
  <c r="F97"/>
  <c r="F98"/>
  <c r="F106"/>
  <c r="F107"/>
  <c r="F109"/>
  <c r="F17"/>
  <c r="P148" i="1"/>
  <c r="AD148" l="1"/>
  <c r="AE148"/>
  <c r="AF148"/>
  <c r="F70" i="20"/>
  <c r="R148" i="1"/>
  <c r="F43" i="20"/>
  <c r="F110"/>
  <c r="F61"/>
  <c r="F50"/>
  <c r="F90"/>
  <c r="F99"/>
  <c r="F100" l="1"/>
  <c r="E109" l="1"/>
  <c r="H109" s="1"/>
  <c r="E107"/>
  <c r="E106"/>
  <c r="G106" s="1"/>
  <c r="E97"/>
  <c r="G97" s="1"/>
  <c r="E96"/>
  <c r="G96" s="1"/>
  <c r="E95"/>
  <c r="G95" s="1"/>
  <c r="E94"/>
  <c r="G94" s="1"/>
  <c r="E93"/>
  <c r="G93" s="1"/>
  <c r="E84"/>
  <c r="G84" s="1"/>
  <c r="E85"/>
  <c r="G85" s="1"/>
  <c r="E86"/>
  <c r="E87"/>
  <c r="G87" s="1"/>
  <c r="E88"/>
  <c r="G88" s="1"/>
  <c r="E89"/>
  <c r="G89" s="1"/>
  <c r="E83"/>
  <c r="G83" s="1"/>
  <c r="E68"/>
  <c r="G68" s="1"/>
  <c r="E67"/>
  <c r="G67" s="1"/>
  <c r="E66"/>
  <c r="G66" s="1"/>
  <c r="E65"/>
  <c r="G65" s="1"/>
  <c r="E64"/>
  <c r="G64" s="1"/>
  <c r="E60"/>
  <c r="G60" s="1"/>
  <c r="E58"/>
  <c r="G58" s="1"/>
  <c r="E56"/>
  <c r="G56" s="1"/>
  <c r="E55"/>
  <c r="G55" s="1"/>
  <c r="E52"/>
  <c r="G52" s="1"/>
  <c r="E49"/>
  <c r="G49" s="1"/>
  <c r="E48"/>
  <c r="G48" s="1"/>
  <c r="E42"/>
  <c r="G42" s="1"/>
  <c r="E41"/>
  <c r="G41" s="1"/>
  <c r="E40"/>
  <c r="G40" s="1"/>
  <c r="E31"/>
  <c r="G31" s="1"/>
  <c r="E32"/>
  <c r="G32" s="1"/>
  <c r="E33"/>
  <c r="G33" s="1"/>
  <c r="E34"/>
  <c r="G34" s="1"/>
  <c r="E36"/>
  <c r="G36" s="1"/>
  <c r="L98"/>
  <c r="L12"/>
  <c r="G43" l="1"/>
  <c r="H86"/>
  <c r="G86"/>
  <c r="G50"/>
  <c r="G90"/>
  <c r="G70"/>
  <c r="G99"/>
  <c r="H107"/>
  <c r="G107"/>
  <c r="G110" s="1"/>
  <c r="E70"/>
  <c r="E50"/>
  <c r="H42"/>
  <c r="H56"/>
  <c r="L13"/>
  <c r="H96"/>
  <c r="H84"/>
  <c r="H88"/>
  <c r="H40"/>
  <c r="H41"/>
  <c r="H60"/>
  <c r="H106"/>
  <c r="E90"/>
  <c r="E110"/>
  <c r="H94"/>
  <c r="H85"/>
  <c r="H89"/>
  <c r="H95"/>
  <c r="H93"/>
  <c r="H97"/>
  <c r="H87"/>
  <c r="H31"/>
  <c r="H36"/>
  <c r="H67"/>
  <c r="H52"/>
  <c r="H32"/>
  <c r="H58"/>
  <c r="H68"/>
  <c r="L32"/>
  <c r="H49"/>
  <c r="H65"/>
  <c r="E43"/>
  <c r="H66"/>
  <c r="H34"/>
  <c r="H33"/>
  <c r="L10"/>
  <c r="H104"/>
  <c r="H48"/>
  <c r="L89"/>
  <c r="L34"/>
  <c r="H55"/>
  <c r="H83"/>
  <c r="H64"/>
  <c r="E57"/>
  <c r="H57" l="1"/>
  <c r="G57"/>
  <c r="G61" s="1"/>
  <c r="G100"/>
  <c r="H50"/>
  <c r="H110"/>
  <c r="E61"/>
  <c r="H70"/>
  <c r="H43"/>
  <c r="H90"/>
  <c r="H61" l="1"/>
  <c r="E98" l="1"/>
  <c r="E99" l="1"/>
  <c r="E100" s="1"/>
  <c r="H100" s="1"/>
  <c r="H98"/>
  <c r="W149" i="1"/>
  <c r="S149"/>
  <c r="H99" i="20" l="1"/>
  <c r="H124" i="1"/>
  <c r="E17" i="20" l="1"/>
  <c r="R16" i="1"/>
  <c r="H17" i="20" l="1"/>
  <c r="G17"/>
  <c r="R144" i="1"/>
  <c r="R135" l="1"/>
  <c r="R132"/>
  <c r="R139" l="1"/>
  <c r="R124"/>
  <c r="R126" s="1"/>
  <c r="P28" l="1"/>
  <c r="R28" s="1"/>
  <c r="P27"/>
  <c r="R27" s="1"/>
  <c r="L11" i="20" l="1"/>
  <c r="L57"/>
  <c r="L26"/>
  <c r="K55"/>
  <c r="K56"/>
  <c r="K107"/>
  <c r="L107" s="1"/>
  <c r="J55"/>
  <c r="J56"/>
  <c r="J19"/>
  <c r="J22" s="1"/>
  <c r="J23" s="1"/>
  <c r="J115" s="1"/>
  <c r="J109"/>
  <c r="L109" s="1"/>
  <c r="L56" l="1"/>
  <c r="J110"/>
  <c r="J61"/>
  <c r="J71" s="1"/>
  <c r="K61"/>
  <c r="L55"/>
  <c r="K110"/>
  <c r="L104"/>
  <c r="L8"/>
  <c r="L14"/>
  <c r="L106" l="1"/>
  <c r="L110"/>
  <c r="L94"/>
  <c r="L86"/>
  <c r="L93" l="1"/>
  <c r="L17"/>
  <c r="L60"/>
  <c r="L87"/>
  <c r="L95"/>
  <c r="L42"/>
  <c r="L52"/>
  <c r="L31"/>
  <c r="L97"/>
  <c r="L96"/>
  <c r="L88"/>
  <c r="L85"/>
  <c r="L84"/>
  <c r="L36"/>
  <c r="L68"/>
  <c r="L67"/>
  <c r="L66"/>
  <c r="L65"/>
  <c r="L49"/>
  <c r="L41"/>
  <c r="L99" l="1"/>
  <c r="L83"/>
  <c r="L70"/>
  <c r="L64"/>
  <c r="L58"/>
  <c r="L61"/>
  <c r="L50"/>
  <c r="L48"/>
  <c r="L40"/>
  <c r="L30"/>
  <c r="K33"/>
  <c r="K21"/>
  <c r="L21" s="1"/>
  <c r="K19"/>
  <c r="L19" s="1"/>
  <c r="K20"/>
  <c r="L20" s="1"/>
  <c r="K18"/>
  <c r="L76" l="1"/>
  <c r="K37"/>
  <c r="K71" s="1"/>
  <c r="L33"/>
  <c r="K22"/>
  <c r="L18"/>
  <c r="L100"/>
  <c r="L90"/>
  <c r="L37" l="1"/>
  <c r="K23"/>
  <c r="L22"/>
  <c r="L23" l="1"/>
  <c r="K115"/>
  <c r="L115" s="1"/>
  <c r="L43"/>
  <c r="L71"/>
  <c r="V60" i="1" l="1"/>
  <c r="U60"/>
  <c r="P60"/>
  <c r="W59"/>
  <c r="S59"/>
  <c r="W58"/>
  <c r="S58"/>
  <c r="W60" l="1"/>
  <c r="S60"/>
  <c r="S187" l="1"/>
  <c r="S185"/>
  <c r="S184"/>
  <c r="S176"/>
  <c r="S175"/>
  <c r="S173"/>
  <c r="S172"/>
  <c r="S171"/>
  <c r="S170"/>
  <c r="S166"/>
  <c r="S165"/>
  <c r="S164"/>
  <c r="S163"/>
  <c r="S161"/>
  <c r="S160"/>
  <c r="S159"/>
  <c r="S153"/>
  <c r="S148"/>
  <c r="S147"/>
  <c r="S144"/>
  <c r="S138"/>
  <c r="S132"/>
  <c r="S131"/>
  <c r="S129"/>
  <c r="S125"/>
  <c r="S124"/>
  <c r="S119"/>
  <c r="S114"/>
  <c r="S95"/>
  <c r="S87"/>
  <c r="S79"/>
  <c r="S78"/>
  <c r="S77"/>
  <c r="S76"/>
  <c r="S75"/>
  <c r="S70"/>
  <c r="S68"/>
  <c r="S67"/>
  <c r="S66"/>
  <c r="S65"/>
  <c r="S62"/>
  <c r="S51"/>
  <c r="S50"/>
  <c r="S48"/>
  <c r="S44"/>
  <c r="S42"/>
  <c r="S41"/>
  <c r="S39"/>
  <c r="S36"/>
  <c r="S16"/>
  <c r="W7"/>
  <c r="W187"/>
  <c r="W185"/>
  <c r="W184"/>
  <c r="W176"/>
  <c r="W175"/>
  <c r="W173"/>
  <c r="W172"/>
  <c r="W171"/>
  <c r="W170"/>
  <c r="W166"/>
  <c r="W165"/>
  <c r="W164"/>
  <c r="W163"/>
  <c r="W161"/>
  <c r="W160"/>
  <c r="W159"/>
  <c r="W153"/>
  <c r="W152"/>
  <c r="W151"/>
  <c r="W148"/>
  <c r="W147"/>
  <c r="W144"/>
  <c r="W138"/>
  <c r="W132"/>
  <c r="W131"/>
  <c r="W129"/>
  <c r="W125"/>
  <c r="W124"/>
  <c r="W119"/>
  <c r="W114"/>
  <c r="W95"/>
  <c r="W92"/>
  <c r="W87"/>
  <c r="W79"/>
  <c r="W78"/>
  <c r="W77"/>
  <c r="W76"/>
  <c r="W75"/>
  <c r="W70"/>
  <c r="W68"/>
  <c r="W67"/>
  <c r="W66"/>
  <c r="W65"/>
  <c r="W62"/>
  <c r="W51"/>
  <c r="W50"/>
  <c r="W48"/>
  <c r="W44"/>
  <c r="W42"/>
  <c r="W41"/>
  <c r="W39"/>
  <c r="W36"/>
  <c r="W34"/>
  <c r="W30"/>
  <c r="W20"/>
  <c r="W19"/>
  <c r="W18"/>
  <c r="W17"/>
  <c r="W16"/>
  <c r="W12"/>
  <c r="W11"/>
  <c r="W10"/>
  <c r="W9"/>
  <c r="V13"/>
  <c r="V21"/>
  <c r="V45"/>
  <c r="V52"/>
  <c r="V72"/>
  <c r="V126"/>
  <c r="V154"/>
  <c r="V167"/>
  <c r="V177"/>
  <c r="V188"/>
  <c r="U188"/>
  <c r="U177"/>
  <c r="U167"/>
  <c r="U154"/>
  <c r="U139"/>
  <c r="U126"/>
  <c r="U96"/>
  <c r="U72"/>
  <c r="U52"/>
  <c r="U45"/>
  <c r="U21"/>
  <c r="U13"/>
  <c r="P188"/>
  <c r="P177"/>
  <c r="P167"/>
  <c r="P126"/>
  <c r="P72"/>
  <c r="P52"/>
  <c r="J78" i="20" l="1"/>
  <c r="J75"/>
  <c r="J79" s="1"/>
  <c r="J112" s="1"/>
  <c r="U155" i="1"/>
  <c r="G102"/>
  <c r="AI96"/>
  <c r="AI190" s="1"/>
  <c r="AH96"/>
  <c r="AH190" s="1"/>
  <c r="AJ96"/>
  <c r="AJ190" s="1"/>
  <c r="V82"/>
  <c r="U82"/>
  <c r="S72"/>
  <c r="S126"/>
  <c r="U22"/>
  <c r="U193" s="1"/>
  <c r="S188"/>
  <c r="S177"/>
  <c r="W126"/>
  <c r="W72"/>
  <c r="W21"/>
  <c r="S52"/>
  <c r="W52"/>
  <c r="W154"/>
  <c r="W13"/>
  <c r="S167"/>
  <c r="W188"/>
  <c r="W167"/>
  <c r="W177"/>
  <c r="W81"/>
  <c r="W45"/>
  <c r="V178"/>
  <c r="V22"/>
  <c r="V193" s="1"/>
  <c r="U178"/>
  <c r="P178"/>
  <c r="W193" l="1"/>
  <c r="W22"/>
  <c r="S178"/>
  <c r="W82"/>
  <c r="W178"/>
  <c r="J113" i="20" l="1"/>
  <c r="J116"/>
  <c r="J117" s="1"/>
  <c r="S86" i="1" l="1"/>
  <c r="S92" l="1"/>
  <c r="S96" l="1"/>
  <c r="V96" l="1"/>
  <c r="W86"/>
  <c r="W96" l="1"/>
  <c r="S136" l="1"/>
  <c r="S135"/>
  <c r="P139"/>
  <c r="E75" i="20" s="1"/>
  <c r="P151" i="1" l="1"/>
  <c r="E76" i="20" s="1"/>
  <c r="E79" s="1"/>
  <c r="G79" s="1"/>
  <c r="S139" i="1"/>
  <c r="AE151" l="1"/>
  <c r="AE190" s="1"/>
  <c r="AF151"/>
  <c r="AD151"/>
  <c r="AD190" s="1"/>
  <c r="H75" i="20"/>
  <c r="W136" i="1"/>
  <c r="R152" l="1"/>
  <c r="S152"/>
  <c r="V139"/>
  <c r="K78" i="20" s="1"/>
  <c r="L78" s="1"/>
  <c r="W135" i="1"/>
  <c r="V155" l="1"/>
  <c r="K75" i="20"/>
  <c r="L75" s="1"/>
  <c r="W139" i="1"/>
  <c r="K79" i="20" l="1"/>
  <c r="L79" s="1"/>
  <c r="K112" l="1"/>
  <c r="L112" s="1"/>
  <c r="E10"/>
  <c r="E11"/>
  <c r="E12"/>
  <c r="E13"/>
  <c r="K113" l="1"/>
  <c r="L113" s="1"/>
  <c r="K116"/>
  <c r="K117" s="1"/>
  <c r="L117" s="1"/>
  <c r="L116" l="1"/>
  <c r="S11" i="1"/>
  <c r="F12" i="20"/>
  <c r="R11" i="1"/>
  <c r="S12"/>
  <c r="R12"/>
  <c r="F13" i="20"/>
  <c r="S9" i="1"/>
  <c r="F10" i="20"/>
  <c r="R9" i="1"/>
  <c r="S10"/>
  <c r="F11" i="20"/>
  <c r="R10" i="1"/>
  <c r="H10" i="20" l="1"/>
  <c r="G10"/>
  <c r="H13"/>
  <c r="G13"/>
  <c r="H12"/>
  <c r="G12"/>
  <c r="H11"/>
  <c r="G11"/>
  <c r="P45" i="1"/>
  <c r="E30" i="20"/>
  <c r="S34" i="1"/>
  <c r="F30" i="20"/>
  <c r="F37" s="1"/>
  <c r="Q45" i="1"/>
  <c r="R34"/>
  <c r="R45" s="1"/>
  <c r="R82" s="1"/>
  <c r="E37" i="20" l="1"/>
  <c r="E71" s="1"/>
  <c r="G30"/>
  <c r="G37" s="1"/>
  <c r="G71" s="1"/>
  <c r="S45" i="1"/>
  <c r="Q82"/>
  <c r="H30" i="20"/>
  <c r="F71"/>
  <c r="H37" l="1"/>
  <c r="H71"/>
  <c r="S120" i="1" l="1"/>
  <c r="S151" l="1"/>
  <c r="R151"/>
  <c r="R154" s="1"/>
  <c r="R155" s="1"/>
  <c r="P154"/>
  <c r="P155" s="1"/>
  <c r="S154" l="1"/>
  <c r="H76" i="20"/>
  <c r="H79" l="1"/>
  <c r="S155" i="1"/>
  <c r="U190" l="1"/>
  <c r="U194" l="1"/>
  <c r="U195" s="1"/>
  <c r="U191"/>
  <c r="W120"/>
  <c r="V190" l="1"/>
  <c r="W190" s="1"/>
  <c r="W155"/>
  <c r="V194" l="1"/>
  <c r="W194" s="1"/>
  <c r="V191"/>
  <c r="W191" s="1"/>
  <c r="V195" l="1"/>
  <c r="W195" s="1"/>
  <c r="E5" i="21"/>
  <c r="E6" s="1"/>
  <c r="E11" s="1"/>
  <c r="E17" s="1"/>
  <c r="E22" l="1"/>
  <c r="E24" s="1"/>
  <c r="E39" l="1"/>
  <c r="E40" s="1"/>
  <c r="E42" s="1"/>
  <c r="E52"/>
  <c r="E55" s="1"/>
  <c r="E56" s="1"/>
  <c r="E43" l="1"/>
  <c r="E44" s="1"/>
  <c r="E65"/>
  <c r="E69" s="1"/>
  <c r="S81" i="1"/>
  <c r="P82"/>
  <c r="S82" l="1"/>
  <c r="F8" i="20"/>
  <c r="E8"/>
  <c r="Q13" i="1"/>
  <c r="E14" i="20" l="1"/>
  <c r="G8"/>
  <c r="G14" s="1"/>
  <c r="H8"/>
  <c r="F14"/>
  <c r="P13" i="1"/>
  <c r="S7"/>
  <c r="R7"/>
  <c r="R13" s="1"/>
  <c r="H14" i="20" l="1"/>
  <c r="S13" i="1"/>
  <c r="S20"/>
  <c r="S19"/>
  <c r="S18"/>
  <c r="S17"/>
  <c r="F20" i="20"/>
  <c r="H20" s="1"/>
  <c r="F19"/>
  <c r="H19" s="1"/>
  <c r="F21"/>
  <c r="H21" s="1"/>
  <c r="E19"/>
  <c r="E20"/>
  <c r="G20" s="1"/>
  <c r="R20" i="1"/>
  <c r="E21" i="20"/>
  <c r="F18"/>
  <c r="H18" s="1"/>
  <c r="Q21" i="1"/>
  <c r="Q22" s="1"/>
  <c r="R17"/>
  <c r="G19" i="20" l="1"/>
  <c r="F22"/>
  <c r="F23" s="1"/>
  <c r="P21" i="1"/>
  <c r="P22" s="1"/>
  <c r="E18" i="20"/>
  <c r="Q193" i="1"/>
  <c r="Q26"/>
  <c r="Q29" s="1"/>
  <c r="Q30" s="1"/>
  <c r="R19"/>
  <c r="R18"/>
  <c r="E22" i="20" l="1"/>
  <c r="E23" s="1"/>
  <c r="H23" s="1"/>
  <c r="G18"/>
  <c r="G22" s="1"/>
  <c r="G23" s="1"/>
  <c r="R21" i="1"/>
  <c r="R22" s="1"/>
  <c r="P193"/>
  <c r="P26"/>
  <c r="S21"/>
  <c r="F115" i="20"/>
  <c r="S22" i="1"/>
  <c r="F26" i="20"/>
  <c r="Q190" i="1"/>
  <c r="G115" i="20" l="1"/>
  <c r="H22"/>
  <c r="E115"/>
  <c r="R193" i="1"/>
  <c r="H115" i="20"/>
  <c r="Q194" i="1"/>
  <c r="Q191"/>
  <c r="F112" i="20"/>
  <c r="R26" i="1"/>
  <c r="P29"/>
  <c r="P30" s="1"/>
  <c r="S193"/>
  <c r="F116" i="20" l="1"/>
  <c r="F113"/>
  <c r="Q195" i="1"/>
  <c r="R29"/>
  <c r="R30" s="1"/>
  <c r="R190" s="1"/>
  <c r="R191" s="1"/>
  <c r="F117" i="20" l="1"/>
  <c r="P190" i="1"/>
  <c r="E26" i="20"/>
  <c r="G26" s="1"/>
  <c r="G112" s="1"/>
  <c r="AF30" i="1"/>
  <c r="AF190" s="1"/>
  <c r="S30"/>
  <c r="G116" i="20" l="1"/>
  <c r="G117" s="1"/>
  <c r="G113"/>
  <c r="P194" i="1"/>
  <c r="P191"/>
  <c r="S191" s="1"/>
  <c r="S190"/>
  <c r="E112" i="20"/>
  <c r="H26"/>
  <c r="R194" i="1" l="1"/>
  <c r="P195"/>
  <c r="S194"/>
  <c r="E116" i="20"/>
  <c r="E113"/>
  <c r="H113" s="1"/>
  <c r="H112"/>
  <c r="R195" i="1" l="1"/>
  <c r="S195"/>
  <c r="E117" i="20"/>
  <c r="H117" s="1"/>
  <c r="H116"/>
</calcChain>
</file>

<file path=xl/comments1.xml><?xml version="1.0" encoding="utf-8"?>
<comments xmlns="http://schemas.openxmlformats.org/spreadsheetml/2006/main">
  <authors>
    <author>Dawn Jacobson</author>
  </authors>
  <commentList>
    <comment ref="G87"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2.xml><?xml version="1.0" encoding="utf-8"?>
<comments xmlns="http://schemas.openxmlformats.org/spreadsheetml/2006/main">
  <authors>
    <author>Dawn Jacobson</author>
  </authors>
  <commentList>
    <comment ref="D31"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54" authorId="0">
      <text>
        <r>
          <rPr>
            <b/>
            <sz val="9"/>
            <color indexed="81"/>
            <rFont val="Tahoma"/>
            <family val="2"/>
          </rPr>
          <t>Dawn Jacobson:</t>
        </r>
        <r>
          <rPr>
            <sz val="9"/>
            <color indexed="81"/>
            <rFont val="Tahoma"/>
            <family val="2"/>
          </rPr>
          <t xml:space="preserve">
Don't Include (Comp Package assumed all was income nothing to Pension)</t>
        </r>
      </text>
    </comment>
    <comment ref="H54" authorId="0">
      <text>
        <r>
          <rPr>
            <b/>
            <sz val="9"/>
            <color indexed="81"/>
            <rFont val="Tahoma"/>
            <family val="2"/>
          </rPr>
          <t>Dawn Jacobson:</t>
        </r>
        <r>
          <rPr>
            <sz val="9"/>
            <color indexed="81"/>
            <rFont val="Tahoma"/>
            <family val="2"/>
          </rPr>
          <t xml:space="preserve">
Don't Include (Comp Package assumed all was income nothing to Pension)</t>
        </r>
      </text>
    </comment>
    <comment ref="I54"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3.xml><?xml version="1.0" encoding="utf-8"?>
<comments xmlns="http://schemas.openxmlformats.org/spreadsheetml/2006/main">
  <authors>
    <author>Dawn Jacobson</author>
  </authors>
  <commentList>
    <comment ref="B25"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sharedStrings.xml><?xml version="1.0" encoding="utf-8"?>
<sst xmlns="http://schemas.openxmlformats.org/spreadsheetml/2006/main" count="772" uniqueCount="493">
  <si>
    <t>Income</t>
  </si>
  <si>
    <t>Envelope Giving</t>
  </si>
  <si>
    <t>Easter Offerings</t>
  </si>
  <si>
    <t>Thanksgiving Offerings</t>
  </si>
  <si>
    <t>Christmas Offerings</t>
  </si>
  <si>
    <t>Lenten Offerings</t>
  </si>
  <si>
    <t>Total Envelope Giving</t>
  </si>
  <si>
    <t>Misc Income</t>
  </si>
  <si>
    <t>Special Appeal</t>
  </si>
  <si>
    <t>Total Misc Income</t>
  </si>
  <si>
    <t>Current Investment Income</t>
  </si>
  <si>
    <t>TOTAL INCOME</t>
  </si>
  <si>
    <t>Expenses</t>
  </si>
  <si>
    <t>Total Expected Income</t>
  </si>
  <si>
    <t>Line of Credit</t>
  </si>
  <si>
    <t>Line of Credit Interest</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</si>
  <si>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</si>
  <si>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</si>
  <si>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</si>
  <si>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</si>
  <si>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</si>
  <si>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</si>
  <si>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</si>
  <si>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</si>
  <si>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</si>
  <si>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</si>
  <si>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</si>
  <si>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</si>
  <si>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</si>
  <si>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</si>
  <si>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</si>
  <si>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</si>
  <si>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</si>
  <si>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</si>
  <si>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</si>
  <si>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</si>
  <si>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</si>
  <si>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</si>
  <si>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</si>
  <si>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</si>
  <si>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</si>
  <si>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</si>
  <si>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</si>
  <si>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</si>
  <si>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</si>
  <si>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</si>
  <si>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</si>
  <si>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</si>
  <si>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</si>
  <si>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</si>
  <si>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</si>
  <si>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</si>
  <si>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</si>
  <si>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</si>
  <si>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</si>
  <si>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</si>
  <si>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</si>
  <si>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</si>
  <si>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</si>
  <si>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</si>
  <si>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</si>
  <si>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</si>
  <si>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</si>
  <si>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</si>
  <si>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</si>
  <si>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</si>
  <si>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</si>
  <si>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</si>
  <si>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</si>
  <si>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</si>
  <si>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</si>
  <si>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</si>
  <si>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</si>
  <si>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</si>
  <si>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Interest-Line of Credit</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</si>
  <si>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</si>
  <si>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</si>
  <si>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</si>
  <si>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</si>
  <si>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</si>
  <si>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</si>
  <si>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</si>
  <si>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</si>
  <si>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</si>
  <si>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</si>
  <si>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</si>
  <si>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</si>
  <si>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</si>
  <si>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</si>
  <si>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</si>
  <si>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</si>
  <si>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</si>
  <si>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</si>
  <si>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</si>
  <si>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</si>
  <si>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Clearing Account</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</si>
  <si>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</si>
  <si>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</si>
  <si>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</si>
  <si>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</si>
  <si>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</si>
  <si>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</si>
  <si>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</si>
  <si>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</si>
  <si>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</si>
  <si>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</si>
  <si>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</si>
  <si>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</si>
  <si>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</si>
  <si>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</si>
  <si>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</si>
  <si>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Total adjusted Expected Income</t>
  </si>
  <si>
    <t>Misc Expenses</t>
  </si>
  <si>
    <t>$</t>
  </si>
  <si>
    <t>%</t>
  </si>
  <si>
    <t xml:space="preserve"> 2017 Budget Notes</t>
  </si>
  <si>
    <t>Projectionist</t>
  </si>
  <si>
    <t>Organ/Piano Maintenance</t>
  </si>
  <si>
    <t>Same as last year</t>
  </si>
  <si>
    <t>The Racine Interfaith Coalition advertising costs $250 but they give back $50.  The Committee would like to Donate the $50 back to RIC.</t>
  </si>
  <si>
    <t xml:space="preserve">Increase to align with all staff, recognize focus and key asset of Youth and the 15 years of exceptional service </t>
  </si>
  <si>
    <t>4 hours per week Sept-May (less Lent):   $10/hours at 4 hours per week for 40 weeks</t>
  </si>
  <si>
    <t>Adjust more in line for all staff positions</t>
  </si>
  <si>
    <r>
      <t xml:space="preserve">Decreased to reflect </t>
    </r>
    <r>
      <rPr>
        <b/>
        <u val="singleAccounting"/>
        <sz val="11"/>
        <rFont val="Calibri"/>
        <family val="2"/>
        <scheme val="minor"/>
      </rPr>
      <t>potential</t>
    </r>
    <r>
      <rPr>
        <sz val="11"/>
        <rFont val="Calibri"/>
        <family val="2"/>
        <scheme val="minor"/>
      </rPr>
      <t xml:space="preserve"> trend for future giving.</t>
    </r>
  </si>
  <si>
    <t>Aligned to be more comparable by level and responsibility:  Mark $12.85/hour at 15 hours/week, Del $11.25/hour at 7.5 hours/week, and Rebecca $10.90/hour at 17 hours/week.</t>
  </si>
  <si>
    <t>CLC Activities include:  Malaria breakfast, homeless activity, Souper Bowl of Caring</t>
  </si>
  <si>
    <t>(13 Confirmants) Gowns $450, Breakfast $350, Cake $50, Pictures $200, Flowers $100 and Gifts $250</t>
  </si>
  <si>
    <t>21 Students attended in 2016:  $400 Curriculum and $200 Materials</t>
  </si>
  <si>
    <t>The library purchases the Book Club choice and provides additional reading material for all ages.</t>
  </si>
  <si>
    <t>We did not have First Communion in 2016.  There will be a class in 2017 receiving First Communion.</t>
  </si>
  <si>
    <t>Deacon Janice coordinates this.</t>
  </si>
  <si>
    <t>This amount is not needed every year but we feel it needs to remain as a line item for when supplies do run low.  Luann Vacek is the contract person for this.</t>
  </si>
  <si>
    <t>Johnson Bank:  Banking &amp; Account Fees.  Vanco:  Auto-withdrawal of 22 giving units.  Could increase if more people give on-line</t>
  </si>
  <si>
    <t>Assumed 40 years old with 9-11 year experience (2nd or 3rd call pastor) - 2017 Synod Guidelines (Defined Compensation)</t>
  </si>
  <si>
    <t>Jay confirmed - no change</t>
  </si>
  <si>
    <t>$24/week for Projection services (none during summer months). Assumed 23 Sundays</t>
  </si>
  <si>
    <t>7.65% of 2017 expected pay-related expenses.</t>
  </si>
  <si>
    <t>Updated by insurance carrier upon completion of annual August audit</t>
  </si>
  <si>
    <t>Light changes.  For 5 months ending Oct savings =$568 or 41% savings per month.</t>
  </si>
  <si>
    <t>Assumes pay off Line of Credit in 2016</t>
  </si>
  <si>
    <t>2016 purchased copier (reduced annual lease cost of $5,810) nearly $6k savings.  Possibly purchase computer for new Pastor and possibly will need a new projector.  Kim received new computer 11/2016 and Janice got a new printer.</t>
  </si>
  <si>
    <t>On budget of $702/month effective October 2016.  Currently saved $362.  Announced 16% increase in costs</t>
  </si>
  <si>
    <t>Annual Monitoring Fee is $21.95/month paid once a year….plus additional keys</t>
  </si>
  <si>
    <t>Nationwide:  Commercial Umbrella, Commercial Property, Crime and General Liability</t>
  </si>
  <si>
    <t>Something for Christmas services for the children</t>
  </si>
  <si>
    <t>Includes communion every Sunday (current year is running over budget).  Also, includes Lent and Advent Services.</t>
  </si>
  <si>
    <t>Assumed 40 years - Pension 10% 44 years or less, 11% 45 or over.  Health/Dental is (% of Defined Comp. $49k and $66k Per 2017 Synod Guidelines) is Member/Spouse 25%, M/S/Children 35%, and M/C 25%.  3% Disability, .3% Group Life &amp; $.7% Retiree Support</t>
  </si>
  <si>
    <t>Jay to check why Lynette has not been paid yet this year.</t>
  </si>
  <si>
    <t>2% increase</t>
  </si>
  <si>
    <t>2$ increase</t>
  </si>
  <si>
    <t>5% increase to align better the $ per service between 8am and 10am music services</t>
  </si>
  <si>
    <t>Same as 2016</t>
  </si>
  <si>
    <t>Facilities Fund Reserve</t>
  </si>
  <si>
    <t>Worship</t>
  </si>
  <si>
    <t>Total Worship</t>
  </si>
  <si>
    <t>Senior Pastor</t>
  </si>
  <si>
    <t>Total Senior Pastor</t>
  </si>
  <si>
    <t>Facilities Maintenance</t>
  </si>
  <si>
    <t>Holden and Hymn Services</t>
  </si>
  <si>
    <t>As requested.</t>
  </si>
  <si>
    <t>Operating Expenses</t>
  </si>
  <si>
    <t>% chg</t>
  </si>
  <si>
    <t>Avg Hrs/Wk</t>
  </si>
  <si>
    <t>$/hr</t>
  </si>
  <si>
    <t>Hourly</t>
  </si>
  <si>
    <t>Budget Year</t>
  </si>
  <si>
    <t># Wk/Yr</t>
  </si>
  <si>
    <t>Director of Youth Ministry</t>
  </si>
  <si>
    <t>Operating Income (Envelope Giving)</t>
  </si>
  <si>
    <t>Net Operating Income/(Loss)</t>
  </si>
  <si>
    <t>Housing</t>
  </si>
  <si>
    <t>Elected</t>
  </si>
  <si>
    <t>Total</t>
  </si>
  <si>
    <t>Per Compensation Package</t>
  </si>
  <si>
    <t xml:space="preserve">Per Compensation Package.     </t>
  </si>
  <si>
    <t>Pension</t>
  </si>
  <si>
    <t>Other Insurance</t>
  </si>
  <si>
    <t>Medical &amp; Dental Insurance</t>
  </si>
  <si>
    <t>Disability</t>
  </si>
  <si>
    <t>Group Life</t>
  </si>
  <si>
    <t>Retiree</t>
  </si>
  <si>
    <t>Medical/Dental premium
     Allowance</t>
  </si>
  <si>
    <t>Synod COLA</t>
  </si>
  <si>
    <t>Disability, Group Life, and Retiree Support</t>
  </si>
  <si>
    <t>Salary and Housing</t>
  </si>
  <si>
    <t>J. Nelson plus others.</t>
  </si>
  <si>
    <t>% of Year</t>
  </si>
  <si>
    <t>Insurance Provision</t>
  </si>
  <si>
    <t>Unforeseen Health Care changes.  Finance Committee Approves and takes recommendation to the Executive Council.</t>
  </si>
  <si>
    <t>Internship</t>
  </si>
  <si>
    <t>Parish/Finance Secretary</t>
  </si>
  <si>
    <t>Communications Secretary</t>
  </si>
  <si>
    <t>Finance Secretary Temp</t>
  </si>
  <si>
    <t>Pastor Transition</t>
  </si>
  <si>
    <t>Intern</t>
  </si>
  <si>
    <t>Total Intern</t>
  </si>
  <si>
    <t>Summer Bible School</t>
  </si>
  <si>
    <t>2019 Request (Jim Sodke):  Choir Piano (2 times) and 3 other pianos (1 time) at $75/each time.  Grand Piano (3 times) at $150 each.  Organ Tuning (1 time) at 750.   Total $1,575.  Includes rate increase and/or minor repairs.</t>
  </si>
  <si>
    <t>Pastor:  Synod increase recommendation is 2% for 2019</t>
  </si>
  <si>
    <t>Total Income excluding Clearing Account</t>
  </si>
  <si>
    <t>2018 actuals added $40/month starting in April for control of ants, Elevator is nearly $1,500.  Pest Control, Elevator check, garbage disposal, Windows Cleaned ($892 2 times a year).  Will start cleaning windows in Spring only.</t>
  </si>
  <si>
    <t>Synod</t>
  </si>
  <si>
    <t>Total Salary and Housing</t>
  </si>
  <si>
    <t>2019 Budget</t>
  </si>
  <si>
    <t>Annual Increase %</t>
  </si>
  <si>
    <t>Portion of Medical/Vision/Dental Elected to go into Salary</t>
  </si>
  <si>
    <t>Total Defined Comp.</t>
  </si>
  <si>
    <t>Health/Dental/Vision Difference</t>
  </si>
  <si>
    <t>Gross up</t>
  </si>
  <si>
    <t>Annually</t>
  </si>
  <si>
    <t>Health Premium Allowance</t>
  </si>
  <si>
    <t>To Salary</t>
  </si>
  <si>
    <t>To Pension</t>
  </si>
  <si>
    <t>Health Premium Allowance:</t>
  </si>
  <si>
    <t>Health Premium Allow added to Pension</t>
  </si>
  <si>
    <t>Total Pension</t>
  </si>
  <si>
    <t>Budgeted</t>
  </si>
  <si>
    <t>Defined Comp.</t>
  </si>
  <si>
    <t>Per Compensation Package, the premium to cover Pastor and her daughter under her husbands insurance (grossed up by 25%).  Documentation is needed each year.   Per Pastor:  2019:  Include $2,600 in Salary and rest in Pension  2018:  Include in Pension.</t>
  </si>
  <si>
    <t>Other Insurance:</t>
  </si>
  <si>
    <t xml:space="preserve">    Total Pension as % of Defined Comp.</t>
  </si>
  <si>
    <t>Total Other Insurance</t>
  </si>
  <si>
    <t>Total Other Insurance %</t>
  </si>
  <si>
    <t>SubTotal</t>
  </si>
  <si>
    <t>Health Premium Allow (Pension Portion only) @7.65%</t>
  </si>
  <si>
    <t>Contract</t>
  </si>
  <si>
    <t>Health Care Premium Allow. (Portion expected to be included in Salary if not included in Defined Comp.)</t>
  </si>
  <si>
    <t>Pastor 2019</t>
  </si>
  <si>
    <t>Travel Allow</t>
  </si>
  <si>
    <t>Continuing Ed</t>
  </si>
  <si>
    <t>Grand Total - Pastor</t>
  </si>
  <si>
    <t>Total Business Expenses</t>
  </si>
  <si>
    <t>Cell Phone Reimbursement</t>
  </si>
  <si>
    <t>In 2018 the FICA taxes were included with other staff.</t>
  </si>
  <si>
    <t>Comparable Figure (year over year)</t>
  </si>
  <si>
    <t>Includes Base Salary, Housing, FICA (Church Share only), and Portion of Premium Allowance</t>
  </si>
  <si>
    <t>Additional Out of pocket differences</t>
  </si>
  <si>
    <t xml:space="preserve">    Sub-total</t>
  </si>
  <si>
    <t xml:space="preserve">Total:  </t>
  </si>
  <si>
    <t>True Emergency issues.  Approved by Executive Council only (Communicate with Finance Committee afterwards)</t>
  </si>
  <si>
    <t>Fees to Seminary</t>
  </si>
  <si>
    <t>$500 Cluster Meeting, $500 Travel Pool, and $1,000 Admin. Fee</t>
  </si>
  <si>
    <t>This is the church's portion of SS.  It is not included in calculation line "Church - FICA/MED"</t>
  </si>
  <si>
    <t>Start Jan. 16, 2018</t>
  </si>
  <si>
    <t>$40/Month.</t>
  </si>
  <si>
    <t>Cell Phone $40/Month</t>
  </si>
  <si>
    <t>Cheryl</t>
  </si>
  <si>
    <t>Director of Contemporary Worship</t>
  </si>
  <si>
    <t>Total Sound Budget</t>
  </si>
  <si>
    <t>Projectionist:</t>
  </si>
  <si>
    <t>Total Performance Events</t>
  </si>
  <si>
    <t xml:space="preserve">     Revelation Band Perform for Advent</t>
  </si>
  <si>
    <t xml:space="preserve">     Revelation Band Perform for Lent</t>
  </si>
  <si>
    <t>Additional Performance Events:</t>
  </si>
  <si>
    <t xml:space="preserve"> </t>
  </si>
  <si>
    <t>Total Sundays</t>
  </si>
  <si>
    <t>May</t>
  </si>
  <si>
    <t>June</t>
  </si>
  <si>
    <t>July</t>
  </si>
  <si>
    <t>Sept</t>
  </si>
  <si>
    <t>Jan</t>
  </si>
  <si>
    <t>Feb</t>
  </si>
  <si>
    <t>Mar</t>
  </si>
  <si>
    <t>Apr</t>
  </si>
  <si>
    <t>Aug</t>
  </si>
  <si>
    <t>Oct</t>
  </si>
  <si>
    <t>Nov</t>
  </si>
  <si>
    <t>Dec</t>
  </si>
  <si>
    <t>Advent (Wednesdays)</t>
  </si>
  <si>
    <t>Lent (Wednesdays)</t>
  </si>
  <si>
    <t>Summer Weeks</t>
  </si>
  <si>
    <t>Don't Play for Advent</t>
  </si>
  <si>
    <t>Play All Lent Wednesdays</t>
  </si>
  <si>
    <t>Total Practice Pay</t>
  </si>
  <si>
    <t xml:space="preserve">    Pay per Practice per Person</t>
  </si>
  <si>
    <t>Per Person</t>
  </si>
  <si>
    <t>Total Performance Pay</t>
  </si>
  <si>
    <t>Dollars</t>
  </si>
  <si>
    <t>REVELATION BAND ESTIMATE:</t>
  </si>
  <si>
    <t>SOUND SUPPORT:</t>
  </si>
  <si>
    <t>Number of Events</t>
  </si>
  <si>
    <t>Total Events</t>
  </si>
  <si>
    <t>Total Number of Sunday Events</t>
  </si>
  <si>
    <t>One day per week</t>
  </si>
  <si>
    <t xml:space="preserve">     # of Performances per Sunday</t>
  </si>
  <si>
    <t xml:space="preserve">     Number of Performance Sundays</t>
  </si>
  <si>
    <t>Total Practice Times</t>
  </si>
  <si>
    <t>Total Revelation Band Budget</t>
  </si>
  <si>
    <t xml:space="preserve">     Advent</t>
  </si>
  <si>
    <t xml:space="preserve">     Lent</t>
  </si>
  <si>
    <t xml:space="preserve">     Average Number of Funerals</t>
  </si>
  <si>
    <t>Total Events (including Sundays)</t>
  </si>
  <si>
    <t xml:space="preserve">    Number of Band Members per event</t>
  </si>
  <si>
    <t xml:space="preserve">     Pay per Sound Person per event</t>
  </si>
  <si>
    <t xml:space="preserve">     Number of Sound People per event</t>
  </si>
  <si>
    <t>Per Pers.</t>
  </si>
  <si>
    <t xml:space="preserve">     Number of Summer/Sub People per event</t>
  </si>
  <si>
    <t>Average</t>
  </si>
  <si>
    <t xml:space="preserve">     Pay per Summer/Sub per event</t>
  </si>
  <si>
    <t>Total Summer/Sub Budget</t>
  </si>
  <si>
    <t>Excludes Summer Outside Services</t>
  </si>
  <si>
    <t xml:space="preserve">     Number of Projectionist People per event</t>
  </si>
  <si>
    <t>Total Summer/Sub Band</t>
  </si>
  <si>
    <t xml:space="preserve">     Pay per Equipment set up</t>
  </si>
  <si>
    <t xml:space="preserve">     Number of Summer Equip. set up people</t>
  </si>
  <si>
    <t>Total Summer Equipment set up</t>
  </si>
  <si>
    <t>Total Summer/Sub Band and Equip. set up</t>
  </si>
  <si>
    <t>Total Sundays (excluding Summer Weeks)</t>
  </si>
  <si>
    <t>Average per year</t>
  </si>
  <si>
    <t>Sound Support</t>
  </si>
  <si>
    <t>SUMMER/SUB BAND AND EQUIP. SET UP:</t>
  </si>
  <si>
    <t>Pool $</t>
  </si>
  <si>
    <t>Staff</t>
  </si>
  <si>
    <t>Music</t>
  </si>
  <si>
    <t>Summer/Sub Bands and Equip. Set up</t>
  </si>
  <si>
    <t>We will be paying one sound person per Sunday.</t>
  </si>
  <si>
    <t>MUSIC:</t>
  </si>
  <si>
    <t>None Salary Positions:</t>
  </si>
  <si>
    <t>This is for preparing the music and does not include practice or performance of music.  It includes the work the Youth Choir Assistant role but does not include performance or practices for Revelation Band.</t>
  </si>
  <si>
    <t>Per Hour Rate</t>
  </si>
  <si>
    <t>NOTES</t>
  </si>
  <si>
    <t>Position</t>
  </si>
  <si>
    <t xml:space="preserve">    # of Band Members per event (Avg)</t>
  </si>
  <si>
    <t xml:space="preserve">     # of Sound People per event</t>
  </si>
  <si>
    <t xml:space="preserve">     # of Summer/Sub People per event</t>
  </si>
  <si>
    <t xml:space="preserve">     # of Summer Equip. set up people</t>
  </si>
  <si>
    <t xml:space="preserve">     # of Projectionist People per event</t>
  </si>
  <si>
    <t>Professional Fees</t>
  </si>
  <si>
    <t>Love God</t>
  </si>
  <si>
    <t>Changing Lives</t>
  </si>
  <si>
    <t>Reaching Out</t>
  </si>
  <si>
    <t>Building</t>
  </si>
  <si>
    <t>Communion Education</t>
  </si>
  <si>
    <t>2019:  $2,000 for new curriculum for 2018 and 2019 $1,200, Carnival $200, Bibles $0, Christmas Program $350, and CLC $250.</t>
  </si>
  <si>
    <r>
      <t xml:space="preserve">2019:  Gowns $200, Breakfast $350, Cake $50, Pictures $200, Flowers $100 and Gifts $100.  </t>
    </r>
    <r>
      <rPr>
        <b/>
        <sz val="11"/>
        <color rgb="FFFF0000"/>
        <rFont val="Calibri"/>
        <family val="2"/>
        <scheme val="minor"/>
      </rPr>
      <t>Expecting 10-12 Confirmants.</t>
    </r>
  </si>
  <si>
    <t>2019:  Curriculum $500 and Materials $250.  They are looking at options with other Churches.  Increase is to support the 5 week summer program.  2019 Actual charged to special fund.</t>
  </si>
  <si>
    <t>2020:  Requested same as 2019.   Cake/Materials $100 and Curriculum/books/cups $100.</t>
  </si>
  <si>
    <t>2020:  Requested same as 2019.</t>
  </si>
  <si>
    <t>2020:  Request same as 2019.  Actuals are much lower so reduced $500.
2019:  Requested $5,000 but included $1,000 for Sound Support payments which was moved to the new Sound Support line.</t>
  </si>
  <si>
    <t>2020:  Request same as 2019 but set up dedicated funds from the Nov 3rd Aebleskivers to be used for the 2020 Picnic.</t>
  </si>
  <si>
    <t>2020:  Request same as 2029.</t>
  </si>
  <si>
    <t>2020:  Per Jim Sodke, keep the same as 2019.  There will be over $1,000 of work coming up (tuning should be done in cooler weather) also some Spring tuning has not yet been billed to us.</t>
  </si>
  <si>
    <t>2020:  Per Building and Grounds:  our best estimate is $10,000 since we do not know when the next large repair item will be needed.  However we are working on that by creating a list of all the B&amp;G needs due to age, appearance and on-going repairs.</t>
  </si>
  <si>
    <r>
      <rPr>
        <b/>
        <sz val="11"/>
        <rFont val="Calibri"/>
        <family val="2"/>
        <scheme val="minor"/>
      </rPr>
      <t xml:space="preserve">2020:  Requested $2,300 for </t>
    </r>
    <r>
      <rPr>
        <sz val="11"/>
        <rFont val="Calibri"/>
        <family val="2"/>
        <scheme val="minor"/>
      </rPr>
      <t>Curriculum $1,250, Carnival $200, Bibles $50, Christmas Program $250, Faith &amp; Service $250, Teach App Gifts $240, and Background Checks $60.</t>
    </r>
  </si>
  <si>
    <t>2020:  Requested $300 for Brown Bag Bible Study $100, Sunday Adult Ed/Forum $100, and Other Adult Study $100.
2019:  Materials $750.</t>
  </si>
  <si>
    <t>Each year has been trending a bit higher.</t>
  </si>
  <si>
    <t>2020:  Do we need to plan for a new computer or any other larger $ equipment in 2020?  Why is YTD so high?
2019:  Heather new computer  Kim/Cheryl new computer 11/2016 and Janice got a new printer also.</t>
  </si>
  <si>
    <t>Youth night and funerals, etc for plates/cups/napkins and other kitchen items.</t>
  </si>
  <si>
    <t>2020 Budget</t>
  </si>
  <si>
    <t>Year over Year</t>
  </si>
  <si>
    <t>Nov 29-Dec 24, 2020</t>
  </si>
  <si>
    <t>Feb 26-April 9, 2020</t>
  </si>
  <si>
    <t>Memorial Day (May 25) - Labor Day (Sept 7)</t>
  </si>
  <si>
    <t>Friday</t>
  </si>
  <si>
    <t>Christmas</t>
  </si>
  <si>
    <t xml:space="preserve">   Add for Easter and Christmas Service</t>
  </si>
  <si>
    <t>Added New for 2020 Budget</t>
  </si>
  <si>
    <t>2020:  No increase in per person rate.  One extra Lent Wednesday Service.</t>
  </si>
  <si>
    <t>2020:  No increase in per person rate.</t>
  </si>
  <si>
    <t>Deb Toff - back up for Cheryl.</t>
  </si>
  <si>
    <t>2019:  Youth Night Food &amp; Projects $7,208, Fright Fest $500, Winter Retreat $292, Winter Retreat Bus $300, Mission Trip 4 Chaperones $4,000 (combined middle/high school trip), 2 Lock-ins $500 (Food and Community service project).</t>
  </si>
  <si>
    <t>2020:  No detail.  Keep the same as 2019.</t>
  </si>
  <si>
    <t>Other Programs</t>
  </si>
  <si>
    <t>Telephone</t>
  </si>
  <si>
    <t>Target is to have expenses no greater than the estimated envelope giving.  Initial look at pledges:  95 total with 38 increase, 16 new, 30 same, 13 decreased</t>
  </si>
  <si>
    <t>Neighborhood Camp</t>
  </si>
  <si>
    <r>
      <t xml:space="preserve">2020:  Requested $250.  </t>
    </r>
    <r>
      <rPr>
        <b/>
        <sz val="11"/>
        <rFont val="Calibri"/>
        <family val="2"/>
        <scheme val="minor"/>
      </rPr>
      <t>Camp is managed through dedicated funds account.  The $250 is what Parish Ed wishes to give to Neighborhood Camp.</t>
    </r>
  </si>
  <si>
    <t xml:space="preserve">2020:  Requested $1,000 for Gowns $50, Breakfast $350, Cake $50, Pictures $50, Flowers $150, Gifts $150, and Curriculum $200.  Expect only 6 Confirmants.  Confirmant Trend:  2019 (12), 2020 (6), 2021 (0), 2022 (12).  </t>
  </si>
  <si>
    <t>We could bring this down a little for 2020.</t>
  </si>
  <si>
    <t>2020:  Requested same as 2019.  Books $200 and DVDs $100.  They spend their $ at end of each year.</t>
  </si>
  <si>
    <t xml:space="preserve">2020:  Requested Materials $500. </t>
  </si>
  <si>
    <t>2020:  Assembly be for 2020 will likely be in Milwaukee.  Budget includes session and mileage for 3 Congregational members and Pastor.
2019 Assembly will be in Milwaukee.  Assumes 3 congregation members plus Pastor.   Includes session cost and mileage.</t>
  </si>
  <si>
    <t>2020:  Per Building &amp; Grounds - same as 2019.   We took it up a bit based on Sept YTD</t>
  </si>
  <si>
    <t>2020:  Per Building &amp; Grounds - same as 2019.  Took this down a bit based on Sept YTD</t>
  </si>
  <si>
    <t xml:space="preserve">2020:  Based on information from Cheryl at budget meeting.
2019:  14% increase per Jay.  </t>
  </si>
  <si>
    <t>2020:  Per Building &amp; Grounds consider dropping to $6,000 based on YTD.
2019:  Increased budget from $3,500 In 2018 to $8,000.</t>
  </si>
  <si>
    <t>Dori Rossmann until end of May</t>
  </si>
  <si>
    <t>First Call Theological</t>
  </si>
  <si>
    <t>Assoc. Pastor</t>
  </si>
  <si>
    <t>Total Assoc. Pastor</t>
  </si>
  <si>
    <t>Synod increase recommendation is 2% for 2020</t>
  </si>
  <si>
    <t xml:space="preserve">FICA Allowance %:   6.2% for Social </t>
  </si>
  <si>
    <t xml:space="preserve">    Security and 1.45% for Medicare</t>
  </si>
  <si>
    <t xml:space="preserve">FICA  %:   6.2% for Social </t>
  </si>
  <si>
    <t>FICA Tax</t>
  </si>
  <si>
    <t>FICA Tax:  7.65%</t>
  </si>
  <si>
    <t>Assumes Assoc. Pastor with 5 years Experience.</t>
  </si>
  <si>
    <t>Start July 1,  2020</t>
  </si>
  <si>
    <t>2020:  Per Building &amp; Grounds - same as 2019.   $50 month for Dori's Phone.  Does not include charge for new phone.  Only 5 months for Dori in 2020.</t>
  </si>
  <si>
    <t>Health Care</t>
  </si>
  <si>
    <t>Assumes Family Coverage</t>
  </si>
  <si>
    <t>Exclude Pastor and Assoc Pastor Salary for FICA/MED as this is included in their section.</t>
  </si>
  <si>
    <t>Retiree Support</t>
  </si>
  <si>
    <t xml:space="preserve">    # of Extras at Easter and Christmas</t>
  </si>
  <si>
    <t>Includes Pastor, Custodians, Heather, Cheryl add Assoc in 2020</t>
  </si>
  <si>
    <t>2020:  No increase in per person rate.  One extra Lent Wednesday Service plus planning for 3 extra members at Easter and Christmas service.</t>
  </si>
  <si>
    <t>Pay Rates for 2020</t>
  </si>
  <si>
    <t>This Does NOT include the Sound Support.  Sound Support is separate.  Lynette is to turn in by name who attended practice and who played at Sunday service each week.</t>
  </si>
  <si>
    <t xml:space="preserve">    Pay per Performance per Person</t>
  </si>
  <si>
    <t>2019:  Switched to Specrum and purchased 7 new phones (needed 5 but bought 2 extra for backup).  Needed 2 office, Pastor, Intern, and Marc/Cheryl office).  Actual - didn't go with Spectrum decided on TDS.</t>
  </si>
  <si>
    <t>New phone was purchased for Dori in 2016 resulting in $137/month for Janice &amp; Dori (was $159/month).  Suggest addition $80/month for new Pastor phone and $150 for new phone plus small additional for contingency and/or rate adjustment</t>
  </si>
  <si>
    <t>Operating Expenses unexpectedly exceed Income (Income shortfall).  Finance Committee approves and takes recommendation to the Executive Council.</t>
  </si>
  <si>
    <t>2019:  Includes $12,000 for Parking Lot.  Large Building and grounds needs for facility up-keep.  Finance Committee Approves and takes recommendation to the Council BEFORE Spending can occur.</t>
  </si>
  <si>
    <t>Same as last year.  Copy paper reduction.  Less announcements/printing, etc.  Per Janice, we will need additional color printing in 2017 for key communication</t>
  </si>
  <si>
    <t>2019:  Estimate per Jay;  $600 Vanco, $996 Johnson Bank (Per month:  $20 Online Banking, $40 Remote Deposit, $15 ACH Module and $8/transaction over 250 Transactions…Estimated $83/Month) and $85 for Safety Deposit Box….Round up to $1,700</t>
  </si>
  <si>
    <t>For 2018, Pastor Pahl has chosen to waive both Medical and Dental coverage.</t>
  </si>
  <si>
    <t>Per Compensation Package.  This excludes the $500 that is included for Synod Assembly (budgeted under Misc Programs).</t>
  </si>
  <si>
    <t>Youth Choir Accompanist</t>
  </si>
  <si>
    <t>Grand Total - Assoc. Pastor</t>
  </si>
  <si>
    <t>Full Year Contract</t>
  </si>
  <si>
    <t>Difference</t>
  </si>
  <si>
    <t>Pension %</t>
  </si>
  <si>
    <t>FICA</t>
  </si>
  <si>
    <t>Intern John's Expenses</t>
  </si>
  <si>
    <t>Dori's Expenses - Cell Phone</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</si>
  <si>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</si>
  <si>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</si>
  <si>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</si>
  <si>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</si>
  <si>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</si>
  <si>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</si>
  <si>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Portion of Medical/Vision/Dental Elected to go into Salary (includes gross up starting in 2020)</t>
  </si>
  <si>
    <t>Notes and Details</t>
  </si>
  <si>
    <t>BAND AND OTHER MUSIC SUPPORT</t>
  </si>
  <si>
    <t>Assoc. Pastor (5 Years Experience)</t>
  </si>
  <si>
    <t>Jack Sensig</t>
  </si>
  <si>
    <t>2020:  Full audit $2,000 &amp; Financial Questions ($500) and Pastor John ($2,000)</t>
  </si>
  <si>
    <t>2020:  Requested same as 2019.  RIC advertisement is purchased for $200</t>
  </si>
  <si>
    <t>WHO APPROVES MAINT SUPPLIES AND BUILDING &amp; REPAIRS OVERSPENDING COSTS?</t>
  </si>
  <si>
    <t>QUESTION:  Shouldn't Endowment Distributions to Outside Org. be considered part of our 10% Benevolence?</t>
  </si>
  <si>
    <t>Various Volunteers</t>
  </si>
  <si>
    <t>$200/for 2 services and $50 for an additional service</t>
  </si>
  <si>
    <t>2020:  Stay through end of May  (with no increase).</t>
  </si>
  <si>
    <t>Jim Sodke.  Consider this position as part of staff.</t>
  </si>
  <si>
    <t>L. Jacobson.  Consider this position as part of staff.</t>
  </si>
  <si>
    <t>2020:  This is now being done through multiple people with most volunteering.
2019:  Dee Bliss</t>
  </si>
  <si>
    <t>2019:  Includes Pastor John training.  For 2020 this will be budgeted in Professional Fees.</t>
  </si>
  <si>
    <t xml:space="preserve">2020:  Per Building &amp; Grounds - same as 2019.   We took it up a bit based on Sept YTD </t>
  </si>
  <si>
    <t>2020:  Per Building &amp; Grounds - same as 2019.   We took it up a bit based on Sept YTD.</t>
  </si>
  <si>
    <t>2020:  Per Building &amp; Grounds - same as 2019.   We took it up a bit based on Sept YTD.  Per Cheryl this is good for 2020.</t>
  </si>
  <si>
    <t>Consistent Staff:</t>
  </si>
  <si>
    <t>Salary and Wages (no increases)</t>
  </si>
  <si>
    <t>Changing Staff:</t>
  </si>
  <si>
    <t>2020 Assoc Pastor (6 months), Intern (5 months) and Youth Director (5 months)</t>
  </si>
  <si>
    <t>Dori's Salary</t>
  </si>
  <si>
    <t>Intern John's Salary</t>
  </si>
  <si>
    <t>All costs *</t>
  </si>
  <si>
    <t>Total Staff **</t>
  </si>
  <si>
    <t>*  Assumes Assoc. Pastor at family coverage for health insurance.</t>
  </si>
  <si>
    <t xml:space="preserve">2020:  Per Building and Grounds suggest $5,000 due to actual YTD. </t>
  </si>
  <si>
    <t xml:space="preserve">2020:  Per Building and Grounds suggest $4,500 due to actual YTD. </t>
  </si>
  <si>
    <t>2020:  Assumes same number of mailings as for 2019
2019:  Assumes 2 mailings.</t>
  </si>
  <si>
    <t>Loose Offerings &amp; Misc.</t>
  </si>
  <si>
    <t>????</t>
  </si>
  <si>
    <t>Church &amp; Community</t>
  </si>
  <si>
    <t xml:space="preserve">2020:  expect the same .  </t>
  </si>
  <si>
    <t>Office Administrator</t>
  </si>
  <si>
    <t>Office Temporary</t>
  </si>
  <si>
    <t xml:space="preserve">Greater Milwaukee Synod </t>
  </si>
  <si>
    <t>Holman's</t>
  </si>
  <si>
    <t>Lutherdale</t>
  </si>
  <si>
    <t>Racine Interfairth Coalition</t>
  </si>
  <si>
    <t>Good Samaritain</t>
  </si>
  <si>
    <t>HALO</t>
  </si>
  <si>
    <t>Tiny Homes</t>
  </si>
  <si>
    <t>Hospitality Center</t>
  </si>
  <si>
    <t>Goodland School</t>
  </si>
  <si>
    <t>Lutheran Social Services</t>
  </si>
  <si>
    <t xml:space="preserve">This is for preparing the music and does not include practice or performance of music. </t>
  </si>
  <si>
    <t>**  If 2020 included the Assoc Pastor full year and No Intern or Youth Director, expenses would be nearly $20,000 higher.</t>
  </si>
  <si>
    <t>Racine Cluster (Living Faith Meal)</t>
  </si>
  <si>
    <t>For Comparison:</t>
  </si>
  <si>
    <t>Love Jesus</t>
  </si>
  <si>
    <t>Volunteer Coordinator</t>
  </si>
  <si>
    <t>Dec YTD Actual</t>
  </si>
  <si>
    <t>Dec YTD Budget</t>
  </si>
  <si>
    <t>Advent Offerings</t>
  </si>
  <si>
    <t>Estimate from Cheryl</t>
  </si>
  <si>
    <t>Parish/Finance Secretary (40 hrs/week)</t>
  </si>
  <si>
    <t>Lead Custodian - Mark (25 hrs/week)</t>
  </si>
  <si>
    <t>Custodian - Rebecca (20 hrs/week)</t>
  </si>
  <si>
    <t>Custodian - ????  (7.5 hrs/week)</t>
  </si>
  <si>
    <t>Volunteer Coordinator (15 hrs/week)</t>
  </si>
  <si>
    <t>Chancelor Choir Director</t>
  </si>
  <si>
    <t>Jan-May (5 months)</t>
  </si>
  <si>
    <t xml:space="preserve">Annually </t>
  </si>
  <si>
    <t xml:space="preserve">              Pension</t>
  </si>
  <si>
    <t>Youth Assistant (2 hr/week for 40 weeks)</t>
  </si>
  <si>
    <r>
      <t xml:space="preserve">Intern   </t>
    </r>
    <r>
      <rPr>
        <sz val="12"/>
        <color theme="1"/>
        <rFont val="Arial"/>
        <family val="2"/>
      </rPr>
      <t xml:space="preserve"> Salary</t>
    </r>
  </si>
  <si>
    <r>
      <t xml:space="preserve">Youth Director   </t>
    </r>
    <r>
      <rPr>
        <sz val="12"/>
        <color theme="1"/>
        <rFont val="Arial"/>
        <family val="2"/>
      </rPr>
      <t>Salary</t>
    </r>
  </si>
  <si>
    <t>Salary Positions (non music)</t>
  </si>
  <si>
    <r>
      <t xml:space="preserve">Pastor:  </t>
    </r>
    <r>
      <rPr>
        <sz val="12"/>
        <color theme="1"/>
        <rFont val="Arial"/>
        <family val="2"/>
      </rPr>
      <t>Deferred Comp.</t>
    </r>
  </si>
  <si>
    <t>Annually (includes FICA, Salary, Housing)</t>
  </si>
</sst>
</file>

<file path=xl/styles.xml><?xml version="1.0" encoding="utf-8"?>
<styleSheet xmlns="http://schemas.openxmlformats.org/spreadsheetml/2006/main">
  <numFmts count="13">
    <numFmt numFmtId="5" formatCode="&quot;$&quot;#,##0_);\(&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_(&quot;$&quot;* #,##0.00000_);_(&quot;$&quot;* \(#,##0.00000\);_(&quot;$&quot;* &quot;-&quot;??_);_(@_)"/>
    <numFmt numFmtId="172" formatCode="0.00000"/>
  </numFmts>
  <fonts count="32">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sz val="12"/>
      <name val="Garamond"/>
      <family val="1"/>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u/>
      <sz val="11"/>
      <color theme="1"/>
      <name val="Calibri"/>
      <family val="2"/>
      <scheme val="minor"/>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s>
  <fills count="12">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s>
  <borders count="10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hair">
        <color auto="1"/>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thick">
        <color indexed="64"/>
      </top>
      <bottom style="thick">
        <color indexed="64"/>
      </bottom>
      <diagonal/>
    </border>
    <border>
      <left/>
      <right/>
      <top style="hair">
        <color auto="1"/>
      </top>
      <bottom style="thin">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748">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4" fontId="3"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7" fillId="0" borderId="0" xfId="2" applyFont="1" applyAlignment="1">
      <alignment vertical="center"/>
    </xf>
    <xf numFmtId="164" fontId="0" fillId="0" borderId="0" xfId="1" applyNumberFormat="1" applyFont="1" applyAlignment="1">
      <alignment horizontal="center" vertical="center" wrapText="1"/>
    </xf>
    <xf numFmtId="164" fontId="2" fillId="3" borderId="0" xfId="1" applyNumberFormat="1" applyFont="1" applyFill="1" applyAlignment="1">
      <alignment vertical="center"/>
    </xf>
    <xf numFmtId="164" fontId="7"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9" fillId="0" borderId="0" xfId="0" applyFont="1"/>
    <xf numFmtId="0" fontId="10"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8" fillId="3" borderId="0" xfId="1" applyNumberFormat="1" applyFont="1" applyFill="1" applyAlignment="1">
      <alignment vertical="center"/>
    </xf>
    <xf numFmtId="43" fontId="0" fillId="0" borderId="0" xfId="3" applyFont="1" applyAlignment="1">
      <alignment vertical="center"/>
    </xf>
    <xf numFmtId="164" fontId="13" fillId="8" borderId="0" xfId="1" applyNumberFormat="1" applyFont="1" applyFill="1" applyAlignment="1">
      <alignment vertical="center"/>
    </xf>
    <xf numFmtId="164" fontId="7" fillId="0" borderId="0" xfId="1" applyNumberFormat="1" applyFont="1" applyAlignment="1">
      <alignment horizontal="center" vertical="center" wrapText="1"/>
    </xf>
    <xf numFmtId="164" fontId="13" fillId="3" borderId="0" xfId="1" applyNumberFormat="1" applyFont="1" applyFill="1" applyAlignment="1">
      <alignment vertical="center"/>
    </xf>
    <xf numFmtId="164" fontId="13"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3" fillId="0" borderId="3" xfId="1" applyNumberFormat="1" applyFont="1" applyBorder="1" applyAlignment="1">
      <alignment horizontal="center" vertical="center" wrapText="1"/>
    </xf>
    <xf numFmtId="164" fontId="15" fillId="0" borderId="0" xfId="1" applyNumberFormat="1" applyFont="1" applyAlignment="1">
      <alignment vertical="center"/>
    </xf>
    <xf numFmtId="164" fontId="15" fillId="3" borderId="0" xfId="1" applyNumberFormat="1" applyFont="1" applyFill="1" applyAlignment="1">
      <alignment vertical="center"/>
    </xf>
    <xf numFmtId="164" fontId="15" fillId="0" borderId="0" xfId="1" applyNumberFormat="1" applyFont="1" applyFill="1" applyAlignment="1">
      <alignment vertical="center"/>
    </xf>
    <xf numFmtId="164" fontId="0" fillId="0" borderId="0" xfId="1" applyNumberFormat="1" applyFont="1" applyAlignment="1">
      <alignment horizontal="left" vertical="center" wrapText="1"/>
    </xf>
    <xf numFmtId="164" fontId="2" fillId="0" borderId="7" xfId="1" applyNumberFormat="1" applyFont="1" applyBorder="1" applyAlignment="1">
      <alignment horizontal="left" vertical="center" wrapText="1"/>
    </xf>
    <xf numFmtId="164" fontId="2"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12" fillId="0" borderId="0" xfId="1" applyNumberFormat="1" applyFont="1" applyAlignment="1">
      <alignment horizontal="left" vertical="center" wrapText="1"/>
    </xf>
    <xf numFmtId="164" fontId="8" fillId="0" borderId="0" xfId="1" applyNumberFormat="1" applyFont="1" applyAlignment="1">
      <alignment horizontal="left" vertical="center" wrapText="1"/>
    </xf>
    <xf numFmtId="164" fontId="11" fillId="0" borderId="0" xfId="1" applyNumberFormat="1" applyFont="1" applyAlignment="1">
      <alignment horizontal="left" vertical="center" wrapText="1"/>
    </xf>
    <xf numFmtId="164" fontId="7" fillId="0" borderId="0" xfId="1" applyNumberFormat="1" applyFont="1" applyFill="1" applyAlignment="1">
      <alignment horizontal="left" vertical="center" wrapText="1"/>
    </xf>
    <xf numFmtId="0" fontId="16" fillId="0" borderId="0" xfId="0" applyFont="1" applyAlignment="1">
      <alignment horizontal="left"/>
    </xf>
    <xf numFmtId="164" fontId="7" fillId="10" borderId="0" xfId="1" applyNumberFormat="1" applyFont="1" applyFill="1" applyAlignment="1">
      <alignment horizontal="left" vertical="center" wrapText="1"/>
    </xf>
    <xf numFmtId="164" fontId="7" fillId="0" borderId="0" xfId="1" quotePrefix="1" applyNumberFormat="1" applyFont="1" applyAlignment="1">
      <alignment horizontal="left" vertical="center" wrapText="1"/>
    </xf>
    <xf numFmtId="164" fontId="7" fillId="0" borderId="0" xfId="1" quotePrefix="1" applyNumberFormat="1" applyFont="1" applyFill="1" applyAlignment="1">
      <alignment horizontal="left" vertical="center" wrapText="1"/>
    </xf>
    <xf numFmtId="164" fontId="12" fillId="0" borderId="0" xfId="1" applyNumberFormat="1" applyFont="1" applyAlignment="1">
      <alignment horizontal="left" vertical="center"/>
    </xf>
    <xf numFmtId="164" fontId="0" fillId="0" borderId="0" xfId="1" applyNumberFormat="1" applyFont="1" applyAlignment="1">
      <alignment horizontal="left" vertical="center"/>
    </xf>
    <xf numFmtId="44" fontId="7" fillId="0" borderId="0" xfId="1" quotePrefix="1" applyNumberFormat="1" applyFont="1" applyFill="1" applyAlignment="1">
      <alignment horizontal="left" vertical="center" wrapText="1"/>
    </xf>
    <xf numFmtId="164" fontId="7" fillId="9" borderId="0" xfId="1" applyNumberFormat="1" applyFont="1" applyFill="1" applyAlignment="1">
      <alignment horizontal="left" vertical="center" wrapText="1"/>
    </xf>
    <xf numFmtId="164" fontId="0" fillId="0" borderId="0" xfId="1" applyNumberFormat="1" applyFont="1" applyAlignment="1">
      <alignment horizontal="left" vertical="center" wrapText="1"/>
    </xf>
    <xf numFmtId="164" fontId="2" fillId="0" borderId="0" xfId="1" applyNumberFormat="1" applyFont="1" applyFill="1" applyAlignment="1">
      <alignment horizontal="left" vertical="center" wrapText="1"/>
    </xf>
    <xf numFmtId="164" fontId="0" fillId="0" borderId="0" xfId="1" applyNumberFormat="1" applyFont="1" applyFill="1" applyAlignment="1">
      <alignment horizontal="left" vertical="center" wrapText="1"/>
    </xf>
    <xf numFmtId="164" fontId="12" fillId="0" borderId="0" xfId="1" applyNumberFormat="1" applyFont="1" applyFill="1" applyAlignment="1">
      <alignment horizontal="left" vertical="center" wrapText="1"/>
    </xf>
    <xf numFmtId="164" fontId="11" fillId="0" borderId="0" xfId="1" applyNumberFormat="1" applyFont="1" applyFill="1" applyAlignment="1">
      <alignment horizontal="left" vertical="center" wrapText="1"/>
    </xf>
    <xf numFmtId="44" fontId="0" fillId="0" borderId="0" xfId="1" applyNumberFormat="1" applyFont="1" applyFill="1" applyAlignment="1">
      <alignment vertical="center"/>
    </xf>
    <xf numFmtId="164" fontId="0" fillId="0" borderId="0" xfId="1" applyNumberFormat="1" applyFont="1" applyAlignment="1">
      <alignment vertical="center" wrapText="1"/>
    </xf>
    <xf numFmtId="166" fontId="0" fillId="0" borderId="0" xfId="1" applyNumberFormat="1" applyFont="1" applyAlignment="1">
      <alignment vertical="center"/>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0" fillId="3" borderId="0" xfId="1" applyNumberFormat="1" applyFont="1" applyFill="1" applyAlignment="1">
      <alignment horizontal="center" vertical="center"/>
    </xf>
    <xf numFmtId="165" fontId="13"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0" fillId="0" borderId="0" xfId="1" quotePrefix="1" applyNumberFormat="1" applyFont="1" applyAlignment="1">
      <alignment horizontal="center" vertical="center" wrapText="1"/>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44" fontId="0" fillId="0" borderId="0" xfId="1" applyNumberFormat="1" applyFont="1" applyAlignment="1">
      <alignment horizontal="center" vertical="center"/>
    </xf>
    <xf numFmtId="44" fontId="0" fillId="0"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44" fontId="12" fillId="0" borderId="0" xfId="1" quotePrefix="1" applyNumberFormat="1" applyFont="1" applyFill="1" applyAlignment="1">
      <alignment horizontal="left" vertical="center" wrapText="1"/>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8"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8"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8"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5" fontId="2" fillId="2" borderId="22"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7" fillId="0" borderId="0" xfId="2" applyNumberFormat="1" applyFont="1" applyAlignment="1">
      <alignment vertical="center"/>
    </xf>
    <xf numFmtId="10" fontId="7" fillId="0" borderId="0" xfId="2" applyNumberFormat="1" applyFont="1" applyAlignment="1">
      <alignment vertical="center"/>
    </xf>
    <xf numFmtId="5" fontId="15" fillId="0" borderId="0" xfId="1" applyNumberFormat="1" applyFont="1" applyFill="1" applyBorder="1" applyAlignment="1">
      <alignment horizontal="right" vertical="center"/>
    </xf>
    <xf numFmtId="5" fontId="7" fillId="0" borderId="0" xfId="1" applyNumberFormat="1" applyFont="1" applyFill="1" applyBorder="1" applyAlignment="1">
      <alignment horizontal="right" vertical="center"/>
    </xf>
    <xf numFmtId="9" fontId="15" fillId="0" borderId="0" xfId="2" applyFont="1" applyFill="1" applyBorder="1" applyAlignment="1">
      <alignment horizontal="center" vertical="center"/>
    </xf>
    <xf numFmtId="5" fontId="7" fillId="0" borderId="0" xfId="1" applyNumberFormat="1" applyFont="1" applyFill="1" applyBorder="1" applyAlignment="1">
      <alignment horizontal="center" vertical="center"/>
    </xf>
    <xf numFmtId="5" fontId="7" fillId="0" borderId="21" xfId="1" applyNumberFormat="1" applyFont="1" applyFill="1" applyBorder="1" applyAlignment="1">
      <alignment horizontal="right" vertical="center"/>
    </xf>
    <xf numFmtId="5" fontId="15" fillId="0" borderId="21" xfId="1" applyNumberFormat="1" applyFont="1" applyFill="1" applyBorder="1" applyAlignment="1">
      <alignment horizontal="right" vertical="center"/>
    </xf>
    <xf numFmtId="10" fontId="15" fillId="0" borderId="0" xfId="2" applyNumberFormat="1" applyFont="1" applyFill="1" applyBorder="1" applyAlignment="1">
      <alignment vertical="center"/>
    </xf>
    <xf numFmtId="10" fontId="15" fillId="0" borderId="26" xfId="2" applyNumberFormat="1" applyFont="1" applyFill="1" applyBorder="1" applyAlignment="1">
      <alignment vertical="center"/>
    </xf>
    <xf numFmtId="5" fontId="15" fillId="0" borderId="26" xfId="1" applyNumberFormat="1" applyFont="1" applyFill="1" applyBorder="1" applyAlignment="1">
      <alignment horizontal="right" vertical="center"/>
    </xf>
    <xf numFmtId="10" fontId="15" fillId="0" borderId="0" xfId="2" applyNumberFormat="1" applyFont="1" applyFill="1" applyBorder="1" applyAlignment="1">
      <alignment horizontal="center" vertical="center"/>
    </xf>
    <xf numFmtId="10" fontId="15" fillId="0" borderId="26" xfId="2" applyNumberFormat="1" applyFont="1" applyFill="1" applyBorder="1" applyAlignment="1">
      <alignment horizontal="center" vertical="center"/>
    </xf>
    <xf numFmtId="5" fontId="7" fillId="0" borderId="26" xfId="1" applyNumberFormat="1" applyFont="1" applyFill="1" applyBorder="1" applyAlignment="1">
      <alignment horizontal="right" vertical="center"/>
    </xf>
    <xf numFmtId="5" fontId="15" fillId="11" borderId="26" xfId="1" applyNumberFormat="1" applyFont="1" applyFill="1" applyBorder="1" applyAlignment="1">
      <alignment horizontal="right" vertical="center"/>
    </xf>
    <xf numFmtId="5" fontId="7" fillId="11" borderId="26" xfId="1" applyNumberFormat="1" applyFont="1" applyFill="1" applyBorder="1" applyAlignment="1">
      <alignment horizontal="right" vertical="center"/>
    </xf>
    <xf numFmtId="10" fontId="15" fillId="11" borderId="29" xfId="2" applyNumberFormat="1" applyFont="1" applyFill="1" applyBorder="1" applyAlignment="1">
      <alignment vertical="center"/>
    </xf>
    <xf numFmtId="10" fontId="15" fillId="11" borderId="29" xfId="2" applyNumberFormat="1" applyFont="1" applyFill="1" applyBorder="1" applyAlignment="1">
      <alignment horizontal="center" vertical="center"/>
    </xf>
    <xf numFmtId="5" fontId="7"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5"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0" fontId="0" fillId="11" borderId="26" xfId="0" applyFill="1" applyBorder="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10"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5" fillId="0" borderId="0" xfId="0" applyNumberFormat="1" applyFont="1" applyBorder="1" applyAlignment="1">
      <alignment vertical="center"/>
    </xf>
    <xf numFmtId="5" fontId="15"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5" fillId="0" borderId="6" xfId="0" applyFont="1" applyBorder="1" applyAlignment="1">
      <alignment vertical="center"/>
    </xf>
    <xf numFmtId="0" fontId="15" fillId="0" borderId="5" xfId="0" applyFont="1" applyBorder="1" applyAlignment="1">
      <alignment vertical="center"/>
    </xf>
    <xf numFmtId="0" fontId="8" fillId="0" borderId="9" xfId="0" applyFont="1" applyBorder="1" applyAlignment="1">
      <alignment vertical="center"/>
    </xf>
    <xf numFmtId="5" fontId="8" fillId="0" borderId="8" xfId="0" applyNumberFormat="1" applyFont="1" applyBorder="1" applyAlignment="1">
      <alignment vertical="center"/>
    </xf>
    <xf numFmtId="5" fontId="8" fillId="0" borderId="10" xfId="0" applyNumberFormat="1" applyFont="1" applyBorder="1" applyAlignment="1">
      <alignment vertical="center"/>
    </xf>
    <xf numFmtId="0" fontId="2" fillId="11" borderId="1" xfId="0" applyFont="1" applyFill="1" applyBorder="1" applyAlignment="1">
      <alignment vertical="center"/>
    </xf>
    <xf numFmtId="5" fontId="2" fillId="11" borderId="2" xfId="0" applyNumberFormat="1" applyFont="1" applyFill="1" applyBorder="1" applyAlignment="1">
      <alignment vertical="center"/>
    </xf>
    <xf numFmtId="5" fontId="2" fillId="11" borderId="3" xfId="0" applyNumberFormat="1" applyFont="1" applyFill="1" applyBorder="1" applyAlignment="1">
      <alignment vertical="center"/>
    </xf>
    <xf numFmtId="5" fontId="2" fillId="11" borderId="7" xfId="0" applyNumberFormat="1" applyFont="1" applyFill="1" applyBorder="1" applyAlignment="1">
      <alignment vertical="center"/>
    </xf>
    <xf numFmtId="9" fontId="15" fillId="11" borderId="5" xfId="0" applyNumberFormat="1" applyFont="1" applyFill="1" applyBorder="1" applyAlignment="1">
      <alignment vertical="center"/>
    </xf>
    <xf numFmtId="5" fontId="0" fillId="11" borderId="26" xfId="0" applyNumberFormat="1" applyFill="1" applyBorder="1" applyAlignment="1">
      <alignment vertical="center"/>
    </xf>
    <xf numFmtId="5" fontId="15" fillId="11" borderId="26" xfId="0" applyNumberFormat="1" applyFont="1" applyFill="1" applyBorder="1" applyAlignment="1">
      <alignment vertical="center"/>
    </xf>
    <xf numFmtId="0" fontId="0" fillId="0" borderId="4" xfId="0" applyFill="1" applyBorder="1" applyAlignment="1">
      <alignment vertical="center"/>
    </xf>
    <xf numFmtId="0" fontId="21" fillId="0" borderId="4"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5" xfId="0" applyFont="1" applyFill="1" applyBorder="1" applyAlignment="1">
      <alignment horizontal="center"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5"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5" fillId="0" borderId="25" xfId="2" applyFont="1" applyFill="1" applyBorder="1" applyAlignment="1">
      <alignment horizontal="center" vertical="center"/>
    </xf>
    <xf numFmtId="5" fontId="7" fillId="0" borderId="26" xfId="1" applyNumberFormat="1" applyFont="1" applyFill="1" applyBorder="1" applyAlignment="1">
      <alignment horizontal="center" vertical="center"/>
    </xf>
    <xf numFmtId="0" fontId="0" fillId="0" borderId="29" xfId="0" applyFill="1" applyBorder="1" applyAlignment="1">
      <alignment vertical="center"/>
    </xf>
    <xf numFmtId="5" fontId="7" fillId="0" borderId="27" xfId="1" applyNumberFormat="1" applyFont="1" applyFill="1" applyBorder="1" applyAlignment="1">
      <alignment horizontal="right" vertical="center"/>
    </xf>
    <xf numFmtId="5" fontId="15"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5" fillId="0" borderId="29" xfId="2" applyNumberFormat="1" applyFont="1" applyFill="1" applyBorder="1" applyAlignment="1">
      <alignment vertical="center"/>
    </xf>
    <xf numFmtId="9" fontId="15" fillId="0" borderId="0" xfId="0" applyNumberFormat="1" applyFont="1" applyFill="1" applyBorder="1" applyAlignment="1">
      <alignment vertical="center"/>
    </xf>
    <xf numFmtId="9" fontId="15" fillId="0" borderId="26" xfId="0" applyNumberFormat="1" applyFont="1" applyFill="1" applyBorder="1" applyAlignment="1">
      <alignment vertical="center"/>
    </xf>
    <xf numFmtId="9" fontId="15"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3" fillId="0" borderId="29" xfId="0"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5"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8" fillId="0" borderId="0" xfId="1" applyNumberFormat="1" applyFont="1" applyFill="1" applyBorder="1" applyAlignment="1">
      <alignment horizontal="right" vertical="center"/>
    </xf>
    <xf numFmtId="5" fontId="11" fillId="0" borderId="0" xfId="1" applyNumberFormat="1" applyFont="1" applyFill="1" applyBorder="1" applyAlignment="1">
      <alignment horizontal="right" vertical="center"/>
    </xf>
    <xf numFmtId="5" fontId="8" fillId="0" borderId="26" xfId="1" applyNumberFormat="1" applyFont="1" applyFill="1" applyBorder="1" applyAlignment="1">
      <alignment horizontal="right" vertical="center"/>
    </xf>
    <xf numFmtId="5" fontId="0" fillId="0" borderId="10" xfId="0" applyNumberFormat="1" applyFill="1" applyBorder="1" applyAlignment="1">
      <alignment vertical="center"/>
    </xf>
    <xf numFmtId="9" fontId="15" fillId="0" borderId="6" xfId="0" applyNumberFormat="1" applyFont="1" applyFill="1" applyBorder="1" applyAlignment="1">
      <alignment vertical="center"/>
    </xf>
    <xf numFmtId="9" fontId="15" fillId="0" borderId="5" xfId="0" applyNumberFormat="1" applyFont="1" applyFill="1" applyBorder="1" applyAlignment="1">
      <alignment vertical="center"/>
    </xf>
    <xf numFmtId="5" fontId="0" fillId="0" borderId="26" xfId="0" applyNumberFormat="1" applyFill="1" applyBorder="1" applyAlignment="1">
      <alignment vertical="center"/>
    </xf>
    <xf numFmtId="5" fontId="11" fillId="0" borderId="0" xfId="0" applyNumberFormat="1" applyFont="1" applyFill="1" applyBorder="1" applyAlignment="1">
      <alignment vertical="center"/>
    </xf>
    <xf numFmtId="5" fontId="15" fillId="0" borderId="26" xfId="0" applyNumberFormat="1" applyFont="1" applyFill="1" applyBorder="1" applyAlignment="1">
      <alignment vertical="center"/>
    </xf>
    <xf numFmtId="5" fontId="2" fillId="0" borderId="0" xfId="0" applyNumberFormat="1" applyFont="1" applyFill="1" applyBorder="1" applyAlignment="1">
      <alignment vertical="center"/>
    </xf>
    <xf numFmtId="5" fontId="8" fillId="0" borderId="26" xfId="0" applyNumberFormat="1" applyFont="1" applyFill="1" applyBorder="1" applyAlignment="1">
      <alignment vertical="center"/>
    </xf>
    <xf numFmtId="165" fontId="0" fillId="0" borderId="10" xfId="2" applyNumberFormat="1" applyFont="1" applyFill="1" applyBorder="1" applyAlignment="1">
      <alignment vertical="center"/>
    </xf>
    <xf numFmtId="165" fontId="15" fillId="0" borderId="0" xfId="0" applyNumberFormat="1" applyFont="1" applyFill="1" applyBorder="1" applyAlignment="1">
      <alignment vertical="center"/>
    </xf>
    <xf numFmtId="165" fontId="15" fillId="0" borderId="26" xfId="0" applyNumberFormat="1" applyFont="1" applyFill="1" applyBorder="1" applyAlignment="1">
      <alignment vertical="center"/>
    </xf>
    <xf numFmtId="165" fontId="7" fillId="0" borderId="0" xfId="0" applyNumberFormat="1" applyFont="1" applyFill="1" applyBorder="1" applyAlignment="1">
      <alignment vertical="center"/>
    </xf>
    <xf numFmtId="165" fontId="7" fillId="0" borderId="26" xfId="0" applyNumberFormat="1" applyFont="1" applyFill="1" applyBorder="1" applyAlignment="1">
      <alignment vertical="center"/>
    </xf>
    <xf numFmtId="0" fontId="0" fillId="0" borderId="25" xfId="0" applyFill="1" applyBorder="1" applyAlignment="1">
      <alignment vertical="center" wrapText="1"/>
    </xf>
    <xf numFmtId="5" fontId="15" fillId="0" borderId="0" xfId="0" applyNumberFormat="1" applyFont="1" applyFill="1" applyBorder="1" applyAlignment="1">
      <alignment vertical="center"/>
    </xf>
    <xf numFmtId="0" fontId="2" fillId="11" borderId="28" xfId="0" applyFont="1" applyFill="1" applyBorder="1" applyAlignment="1">
      <alignment horizontal="center" vertical="center"/>
    </xf>
    <xf numFmtId="0" fontId="0" fillId="11" borderId="5" xfId="0" applyFill="1" applyBorder="1" applyAlignment="1">
      <alignment vertical="center"/>
    </xf>
    <xf numFmtId="5" fontId="8" fillId="11" borderId="26" xfId="1" applyNumberFormat="1" applyFont="1" applyFill="1" applyBorder="1" applyAlignment="1">
      <alignment horizontal="right" vertical="center"/>
    </xf>
    <xf numFmtId="165" fontId="15" fillId="11" borderId="26" xfId="0" applyNumberFormat="1" applyFont="1" applyFill="1" applyBorder="1" applyAlignment="1">
      <alignment vertical="center"/>
    </xf>
    <xf numFmtId="165" fontId="7" fillId="11" borderId="26" xfId="0" applyNumberFormat="1" applyFont="1" applyFill="1" applyBorder="1" applyAlignment="1">
      <alignment vertical="center"/>
    </xf>
    <xf numFmtId="0" fontId="15" fillId="11" borderId="28" xfId="0" applyFont="1" applyFill="1" applyBorder="1" applyAlignment="1">
      <alignment vertical="center"/>
    </xf>
    <xf numFmtId="5" fontId="15" fillId="11" borderId="29" xfId="0" applyNumberFormat="1" applyFont="1" applyFill="1" applyBorder="1" applyAlignment="1">
      <alignment vertical="center"/>
    </xf>
    <xf numFmtId="5" fontId="8"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5" fillId="0" borderId="32" xfId="1" applyNumberFormat="1" applyFont="1" applyBorder="1" applyAlignment="1">
      <alignment vertical="center"/>
    </xf>
    <xf numFmtId="164" fontId="7"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7" fillId="0" borderId="32" xfId="1" applyNumberFormat="1" applyFont="1" applyFill="1" applyBorder="1" applyAlignment="1">
      <alignment horizontal="left" vertical="center" wrapText="1"/>
    </xf>
    <xf numFmtId="164" fontId="15" fillId="0" borderId="33" xfId="1" applyNumberFormat="1" applyFont="1" applyBorder="1" applyAlignment="1">
      <alignment vertical="center"/>
    </xf>
    <xf numFmtId="164" fontId="7"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7" fillId="0" borderId="33" xfId="1" applyNumberFormat="1" applyFont="1" applyFill="1" applyBorder="1" applyAlignment="1">
      <alignment horizontal="left" vertical="center" wrapText="1"/>
    </xf>
    <xf numFmtId="164" fontId="15" fillId="0" borderId="34" xfId="1" applyNumberFormat="1" applyFont="1" applyBorder="1" applyAlignment="1">
      <alignment vertical="center"/>
    </xf>
    <xf numFmtId="164" fontId="7"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7" fillId="0" borderId="34" xfId="1" applyNumberFormat="1" applyFont="1" applyFill="1" applyBorder="1" applyAlignment="1">
      <alignment horizontal="left" vertical="center" wrapText="1"/>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2" fillId="0" borderId="33" xfId="1" applyNumberFormat="1" applyFont="1" applyFill="1" applyBorder="1" applyAlignment="1">
      <alignment horizontal="left" vertical="center" wrapText="1"/>
    </xf>
    <xf numFmtId="164" fontId="12" fillId="0" borderId="34" xfId="1" applyNumberFormat="1" applyFont="1" applyFill="1" applyBorder="1" applyAlignment="1">
      <alignment horizontal="left" vertical="center" wrapText="1"/>
    </xf>
    <xf numFmtId="164" fontId="15" fillId="0" borderId="33" xfId="1" applyNumberFormat="1" applyFont="1" applyFill="1" applyBorder="1" applyAlignment="1">
      <alignment vertical="center"/>
    </xf>
    <xf numFmtId="164" fontId="15" fillId="0" borderId="34" xfId="1" applyNumberFormat="1" applyFont="1" applyFill="1" applyBorder="1" applyAlignment="1">
      <alignment vertical="center"/>
    </xf>
    <xf numFmtId="164" fontId="15" fillId="0" borderId="32" xfId="1" applyNumberFormat="1" applyFont="1" applyFill="1" applyBorder="1" applyAlignment="1">
      <alignment vertical="center"/>
    </xf>
    <xf numFmtId="5" fontId="15" fillId="0" borderId="32" xfId="1" applyNumberFormat="1" applyFont="1" applyFill="1" applyBorder="1" applyAlignment="1">
      <alignment horizontal="center" vertical="center"/>
    </xf>
    <xf numFmtId="9" fontId="15" fillId="0" borderId="32" xfId="2" applyFont="1" applyFill="1" applyBorder="1" applyAlignment="1">
      <alignment horizontal="center" vertical="center"/>
    </xf>
    <xf numFmtId="5" fontId="7"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5" fillId="0" borderId="32" xfId="2" applyNumberFormat="1" applyFont="1" applyFill="1" applyBorder="1" applyAlignment="1">
      <alignment vertical="center"/>
    </xf>
    <xf numFmtId="164" fontId="7"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5" fillId="0" borderId="33" xfId="1" applyNumberFormat="1" applyFont="1" applyFill="1" applyBorder="1" applyAlignment="1">
      <alignment horizontal="center" vertical="center"/>
    </xf>
    <xf numFmtId="5" fontId="7"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4" fillId="0" borderId="33" xfId="1" applyNumberFormat="1" applyFont="1" applyFill="1" applyBorder="1" applyAlignment="1">
      <alignment vertical="center"/>
    </xf>
    <xf numFmtId="164" fontId="7" fillId="0" borderId="33" xfId="1" applyNumberFormat="1" applyFont="1" applyFill="1" applyBorder="1" applyAlignment="1">
      <alignment vertical="center"/>
    </xf>
    <xf numFmtId="164" fontId="0" fillId="0" borderId="33" xfId="1" applyNumberFormat="1" applyFont="1" applyFill="1" applyBorder="1" applyAlignment="1">
      <alignment vertical="center" wrapText="1"/>
    </xf>
    <xf numFmtId="164" fontId="2" fillId="0" borderId="33" xfId="1" applyNumberFormat="1" applyFont="1" applyFill="1" applyBorder="1" applyAlignment="1">
      <alignment horizontal="right" vertical="top" wrapText="1"/>
    </xf>
    <xf numFmtId="164" fontId="2" fillId="0" borderId="33" xfId="1" applyNumberFormat="1" applyFont="1" applyFill="1" applyBorder="1" applyAlignment="1">
      <alignment vertical="top" wrapText="1"/>
    </xf>
    <xf numFmtId="164" fontId="15" fillId="0" borderId="33" xfId="1" applyNumberFormat="1" applyFont="1" applyFill="1" applyBorder="1" applyAlignment="1">
      <alignment horizontal="center" vertical="center"/>
    </xf>
    <xf numFmtId="9" fontId="15" fillId="0" borderId="33" xfId="2" applyFont="1" applyFill="1" applyBorder="1" applyAlignment="1">
      <alignment horizontal="center" vertical="center"/>
    </xf>
    <xf numFmtId="10" fontId="15"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5" fillId="0" borderId="33" xfId="2" applyNumberFormat="1" applyFont="1" applyFill="1" applyBorder="1" applyAlignment="1">
      <alignment horizontal="center" vertical="center"/>
    </xf>
    <xf numFmtId="165" fontId="7" fillId="0" borderId="33" xfId="2" applyNumberFormat="1" applyFont="1" applyFill="1" applyBorder="1" applyAlignment="1">
      <alignment vertical="center"/>
    </xf>
    <xf numFmtId="164" fontId="7" fillId="0" borderId="33" xfId="1" quotePrefix="1" applyNumberFormat="1" applyFont="1" applyFill="1" applyBorder="1" applyAlignment="1">
      <alignment horizontal="left" vertical="center" wrapText="1"/>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4" fillId="0" borderId="34" xfId="1" applyNumberFormat="1" applyFont="1" applyBorder="1" applyAlignment="1">
      <alignment vertical="center"/>
    </xf>
    <xf numFmtId="164" fontId="7" fillId="0" borderId="34" xfId="1" applyNumberFormat="1" applyFont="1" applyFill="1" applyBorder="1" applyAlignment="1">
      <alignment vertical="center"/>
    </xf>
    <xf numFmtId="164" fontId="7" fillId="0" borderId="32" xfId="1" applyNumberFormat="1" applyFont="1" applyBorder="1" applyAlignment="1">
      <alignment horizontal="center" vertical="center"/>
    </xf>
    <xf numFmtId="164" fontId="14" fillId="0" borderId="32" xfId="1" applyNumberFormat="1" applyFont="1" applyBorder="1" applyAlignment="1">
      <alignment horizontal="center" vertical="center"/>
    </xf>
    <xf numFmtId="164" fontId="14" fillId="0" borderId="33" xfId="1" applyNumberFormat="1" applyFont="1" applyBorder="1" applyAlignment="1">
      <alignment horizontal="center" vertical="center"/>
    </xf>
    <xf numFmtId="43" fontId="0" fillId="0" borderId="32" xfId="3" applyFont="1" applyBorder="1" applyAlignment="1">
      <alignment horizontal="center" vertical="center"/>
    </xf>
    <xf numFmtId="37" fontId="15" fillId="0" borderId="34" xfId="1" applyNumberFormat="1" applyFont="1" applyFill="1" applyBorder="1" applyAlignment="1">
      <alignment horizontal="center" vertical="center"/>
    </xf>
    <xf numFmtId="7" fontId="7" fillId="0" borderId="34" xfId="1" applyNumberFormat="1" applyFont="1" applyBorder="1" applyAlignment="1">
      <alignment horizontal="center" vertical="center"/>
    </xf>
    <xf numFmtId="165" fontId="15" fillId="0" borderId="34" xfId="2" applyNumberFormat="1" applyFont="1" applyBorder="1" applyAlignment="1">
      <alignment horizontal="center" vertical="center"/>
    </xf>
    <xf numFmtId="7" fontId="15" fillId="0" borderId="34" xfId="1" applyNumberFormat="1" applyFont="1" applyBorder="1" applyAlignment="1">
      <alignment horizontal="center" vertical="center"/>
    </xf>
    <xf numFmtId="44" fontId="15" fillId="0" borderId="34" xfId="1" applyNumberFormat="1" applyFont="1" applyBorder="1" applyAlignment="1">
      <alignment horizontal="center" vertical="center"/>
    </xf>
    <xf numFmtId="164" fontId="14" fillId="0" borderId="32" xfId="1" applyNumberFormat="1" applyFont="1" applyBorder="1" applyAlignment="1">
      <alignment vertical="center"/>
    </xf>
    <xf numFmtId="164" fontId="14" fillId="0" borderId="33" xfId="1" applyNumberFormat="1" applyFont="1" applyBorder="1" applyAlignment="1">
      <alignment vertical="center"/>
    </xf>
    <xf numFmtId="44" fontId="7" fillId="0" borderId="33" xfId="1" applyNumberFormat="1" applyFont="1" applyFill="1" applyBorder="1" applyAlignment="1">
      <alignment horizontal="left" vertical="center" wrapText="1"/>
    </xf>
    <xf numFmtId="168" fontId="2" fillId="4" borderId="41" xfId="1" applyNumberFormat="1" applyFont="1" applyFill="1" applyBorder="1" applyAlignment="1">
      <alignment horizontal="center" vertical="center"/>
    </xf>
    <xf numFmtId="37" fontId="15" fillId="0" borderId="33" xfId="1" applyNumberFormat="1" applyFont="1" applyFill="1" applyBorder="1" applyAlignment="1">
      <alignment horizontal="center" vertical="center"/>
    </xf>
    <xf numFmtId="7" fontId="15" fillId="0" borderId="33" xfId="1" applyNumberFormat="1" applyFont="1" applyBorder="1" applyAlignment="1">
      <alignment horizontal="center" vertical="center"/>
    </xf>
    <xf numFmtId="165" fontId="7" fillId="0" borderId="33" xfId="2" applyNumberFormat="1" applyFont="1" applyBorder="1" applyAlignment="1">
      <alignment horizontal="center" vertical="center"/>
    </xf>
    <xf numFmtId="44" fontId="15" fillId="0" borderId="33" xfId="1" applyNumberFormat="1" applyFont="1" applyBorder="1" applyAlignment="1">
      <alignment horizontal="center" vertical="center"/>
    </xf>
    <xf numFmtId="7" fontId="7" fillId="0" borderId="33" xfId="1" applyNumberFormat="1" applyFont="1" applyBorder="1" applyAlignment="1">
      <alignment horizontal="center" vertical="center"/>
    </xf>
    <xf numFmtId="165" fontId="15" fillId="0" borderId="33" xfId="2" applyNumberFormat="1" applyFont="1" applyBorder="1" applyAlignment="1">
      <alignment horizontal="center" vertical="center"/>
    </xf>
    <xf numFmtId="169" fontId="15" fillId="0" borderId="33" xfId="1" applyNumberFormat="1" applyFont="1" applyFill="1" applyBorder="1" applyAlignment="1">
      <alignment horizontal="center" vertical="center"/>
    </xf>
    <xf numFmtId="164" fontId="0" fillId="0" borderId="33" xfId="1" quotePrefix="1" applyNumberFormat="1" applyFont="1" applyBorder="1" applyAlignment="1">
      <alignment horizontal="center" vertical="center"/>
    </xf>
    <xf numFmtId="13" fontId="0" fillId="0" borderId="33" xfId="1" applyNumberFormat="1" applyFont="1" applyBorder="1" applyAlignment="1">
      <alignment vertical="center"/>
    </xf>
    <xf numFmtId="164" fontId="7" fillId="10" borderId="33" xfId="1" applyNumberFormat="1" applyFont="1" applyFill="1" applyBorder="1" applyAlignment="1">
      <alignment vertical="center"/>
    </xf>
    <xf numFmtId="167" fontId="7" fillId="0" borderId="33" xfId="3" applyNumberFormat="1" applyFont="1" applyBorder="1" applyAlignment="1">
      <alignment horizontal="center" vertical="center"/>
    </xf>
    <xf numFmtId="43" fontId="7" fillId="0" borderId="33" xfId="3" applyNumberFormat="1" applyFont="1" applyBorder="1" applyAlignment="1">
      <alignment horizontal="center" vertical="center"/>
    </xf>
    <xf numFmtId="167" fontId="18" fillId="0" borderId="33" xfId="3" applyNumberFormat="1" applyFont="1" applyBorder="1" applyAlignment="1">
      <alignment horizontal="center" vertical="center"/>
    </xf>
    <xf numFmtId="10" fontId="15" fillId="0" borderId="33" xfId="2" applyNumberFormat="1" applyFont="1" applyBorder="1" applyAlignment="1">
      <alignment horizontal="center" vertical="center"/>
    </xf>
    <xf numFmtId="164" fontId="0" fillId="0" borderId="34" xfId="1" applyNumberFormat="1" applyFont="1" applyFill="1" applyBorder="1" applyAlignment="1">
      <alignment vertical="center" wrapText="1"/>
    </xf>
    <xf numFmtId="164" fontId="7" fillId="0" borderId="0" xfId="1" applyNumberFormat="1" applyFont="1" applyFill="1" applyAlignment="1">
      <alignment vertical="center"/>
    </xf>
    <xf numFmtId="164" fontId="12"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5" fillId="0" borderId="0" xfId="1" applyNumberFormat="1" applyFont="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8" xfId="0" applyBorder="1" applyAlignment="1">
      <alignment vertical="center"/>
    </xf>
    <xf numFmtId="0" fontId="0" fillId="0" borderId="0" xfId="0"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 fillId="11" borderId="53" xfId="0" applyFont="1" applyFill="1"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59" xfId="0" quotePrefix="1" applyFill="1" applyBorder="1" applyAlignment="1">
      <alignment vertical="center"/>
    </xf>
    <xf numFmtId="0" fontId="0" fillId="0" borderId="60" xfId="0" applyBorder="1" applyAlignment="1">
      <alignment vertical="center"/>
    </xf>
    <xf numFmtId="0" fontId="0" fillId="0" borderId="8" xfId="0" quotePrefix="1" applyFill="1" applyBorder="1" applyAlignment="1">
      <alignment vertical="center"/>
    </xf>
    <xf numFmtId="0" fontId="0" fillId="0" borderId="48" xfId="0" applyFill="1" applyBorder="1" applyAlignment="1">
      <alignment vertical="center"/>
    </xf>
    <xf numFmtId="0" fontId="0" fillId="0" borderId="46" xfId="0" applyFill="1" applyBorder="1" applyAlignment="1">
      <alignment vertical="center"/>
    </xf>
    <xf numFmtId="0" fontId="2" fillId="0" borderId="63" xfId="0" applyFont="1" applyFill="1" applyBorder="1" applyAlignment="1">
      <alignment vertical="center"/>
    </xf>
    <xf numFmtId="0" fontId="0" fillId="0" borderId="66" xfId="0" applyBorder="1" applyAlignment="1">
      <alignment vertical="center"/>
    </xf>
    <xf numFmtId="0" fontId="15" fillId="0" borderId="0" xfId="0" applyFont="1" applyFill="1" applyBorder="1" applyAlignment="1">
      <alignment horizontal="center" vertical="center"/>
    </xf>
    <xf numFmtId="0" fontId="0" fillId="0" borderId="67" xfId="0" applyBorder="1" applyAlignment="1">
      <alignment vertical="center"/>
    </xf>
    <xf numFmtId="0" fontId="0" fillId="0" borderId="70" xfId="0" applyBorder="1" applyAlignment="1">
      <alignment vertical="center"/>
    </xf>
    <xf numFmtId="0" fontId="0" fillId="0" borderId="32" xfId="0" applyBorder="1" applyAlignment="1">
      <alignment vertical="center"/>
    </xf>
    <xf numFmtId="0" fontId="15" fillId="0" borderId="32" xfId="0" applyFont="1" applyFill="1" applyBorder="1" applyAlignment="1">
      <alignment horizontal="center" vertical="center"/>
    </xf>
    <xf numFmtId="0" fontId="0" fillId="0" borderId="71" xfId="0" applyBorder="1" applyAlignment="1">
      <alignment vertical="center"/>
    </xf>
    <xf numFmtId="0" fontId="0" fillId="0" borderId="72" xfId="0" applyBorder="1" applyAlignment="1">
      <alignment vertical="center"/>
    </xf>
    <xf numFmtId="0" fontId="0" fillId="0" borderId="33" xfId="0" applyBorder="1" applyAlignment="1">
      <alignment vertical="center"/>
    </xf>
    <xf numFmtId="0" fontId="0" fillId="0" borderId="73" xfId="0" applyBorder="1" applyAlignment="1">
      <alignment vertical="center"/>
    </xf>
    <xf numFmtId="0" fontId="22" fillId="0" borderId="0" xfId="0" applyFont="1" applyAlignment="1">
      <alignment vertical="center"/>
    </xf>
    <xf numFmtId="0" fontId="2" fillId="0" borderId="6" xfId="0" applyFont="1" applyFill="1" applyBorder="1" applyAlignment="1">
      <alignment vertical="center"/>
    </xf>
    <xf numFmtId="0" fontId="0" fillId="0" borderId="45" xfId="0" applyFill="1" applyBorder="1" applyAlignment="1">
      <alignment vertical="center"/>
    </xf>
    <xf numFmtId="0" fontId="2" fillId="0" borderId="64"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5" xfId="0" applyBorder="1" applyAlignment="1">
      <alignment vertical="center"/>
    </xf>
    <xf numFmtId="0" fontId="2" fillId="0" borderId="76" xfId="0" applyFont="1" applyFill="1" applyBorder="1" applyAlignment="1">
      <alignment vertical="center"/>
    </xf>
    <xf numFmtId="0" fontId="2" fillId="0" borderId="77" xfId="0" applyFont="1" applyFill="1" applyBorder="1" applyAlignment="1">
      <alignment vertical="center"/>
    </xf>
    <xf numFmtId="0" fontId="0" fillId="0" borderId="77" xfId="0" applyFill="1" applyBorder="1" applyAlignment="1">
      <alignment vertical="center"/>
    </xf>
    <xf numFmtId="0" fontId="0" fillId="0" borderId="78" xfId="0" applyFill="1" applyBorder="1" applyAlignment="1">
      <alignment vertical="center"/>
    </xf>
    <xf numFmtId="164" fontId="17" fillId="0" borderId="32" xfId="1" applyNumberFormat="1" applyFont="1" applyFill="1" applyBorder="1" applyAlignment="1">
      <alignment horizontal="center" vertical="center"/>
    </xf>
    <xf numFmtId="0" fontId="25" fillId="0" borderId="0" xfId="0" applyFont="1" applyAlignment="1">
      <alignment vertical="center"/>
    </xf>
    <xf numFmtId="0" fontId="23" fillId="0" borderId="0" xfId="0" applyFont="1" applyAlignment="1">
      <alignment vertical="center"/>
    </xf>
    <xf numFmtId="0" fontId="26" fillId="0" borderId="0" xfId="0" applyFont="1" applyAlignment="1">
      <alignment vertical="center"/>
    </xf>
    <xf numFmtId="0" fontId="23" fillId="0" borderId="0" xfId="0" applyFont="1" applyFill="1" applyAlignment="1">
      <alignment vertical="center"/>
    </xf>
    <xf numFmtId="0" fontId="23" fillId="0" borderId="0" xfId="0" applyFont="1" applyBorder="1" applyAlignment="1">
      <alignment vertical="center"/>
    </xf>
    <xf numFmtId="5" fontId="23" fillId="0" borderId="0" xfId="0" applyNumberFormat="1" applyFont="1" applyAlignment="1">
      <alignment vertical="center"/>
    </xf>
    <xf numFmtId="0" fontId="23" fillId="0" borderId="8" xfId="0" applyFont="1" applyBorder="1" applyAlignment="1">
      <alignment vertical="center"/>
    </xf>
    <xf numFmtId="0" fontId="23" fillId="0" borderId="18" xfId="0" applyFont="1" applyBorder="1" applyAlignment="1">
      <alignment vertical="center"/>
    </xf>
    <xf numFmtId="0" fontId="26" fillId="0" borderId="0" xfId="0" applyFont="1" applyBorder="1" applyAlignment="1">
      <alignment horizontal="center" vertical="center" textRotation="90" wrapText="1"/>
    </xf>
    <xf numFmtId="0" fontId="25" fillId="0" borderId="0" xfId="0" applyFont="1" applyAlignment="1">
      <alignment horizontal="center" vertical="center" wrapText="1"/>
    </xf>
    <xf numFmtId="0" fontId="26" fillId="0" borderId="0" xfId="0" applyFont="1" applyFill="1" applyBorder="1" applyAlignment="1">
      <alignment vertical="center"/>
    </xf>
    <xf numFmtId="0" fontId="23" fillId="0" borderId="23" xfId="0" applyFont="1" applyBorder="1" applyAlignment="1">
      <alignment vertical="center"/>
    </xf>
    <xf numFmtId="0" fontId="23" fillId="0" borderId="20" xfId="0" applyFont="1" applyBorder="1" applyAlignment="1">
      <alignment vertical="center"/>
    </xf>
    <xf numFmtId="0" fontId="23" fillId="0" borderId="21" xfId="0" applyFont="1" applyBorder="1" applyAlignment="1">
      <alignment vertical="center"/>
    </xf>
    <xf numFmtId="0" fontId="26" fillId="11" borderId="79" xfId="0" applyFont="1" applyFill="1" applyBorder="1" applyAlignment="1">
      <alignment vertical="center"/>
    </xf>
    <xf numFmtId="0" fontId="23" fillId="11" borderId="80" xfId="0" applyFont="1" applyFill="1" applyBorder="1" applyAlignment="1">
      <alignment vertical="center"/>
    </xf>
    <xf numFmtId="0" fontId="23" fillId="11" borderId="81" xfId="0" applyFont="1" applyFill="1" applyBorder="1" applyAlignment="1">
      <alignment vertical="center"/>
    </xf>
    <xf numFmtId="0" fontId="23" fillId="0" borderId="24" xfId="0" applyFont="1" applyBorder="1" applyAlignment="1">
      <alignment vertical="center"/>
    </xf>
    <xf numFmtId="0" fontId="23" fillId="0" borderId="22" xfId="0" applyFont="1" applyBorder="1" applyAlignment="1">
      <alignment vertical="center"/>
    </xf>
    <xf numFmtId="0" fontId="23" fillId="0" borderId="47" xfId="0" applyFont="1" applyBorder="1" applyAlignment="1">
      <alignment vertical="center"/>
    </xf>
    <xf numFmtId="0" fontId="23" fillId="0" borderId="82" xfId="0" applyFont="1" applyBorder="1" applyAlignment="1">
      <alignment vertical="center"/>
    </xf>
    <xf numFmtId="0" fontId="23" fillId="0" borderId="17" xfId="0" applyFont="1" applyBorder="1" applyAlignment="1">
      <alignment vertical="center"/>
    </xf>
    <xf numFmtId="0" fontId="23" fillId="0" borderId="19" xfId="0" applyFont="1" applyBorder="1" applyAlignment="1">
      <alignment vertical="center"/>
    </xf>
    <xf numFmtId="0" fontId="23" fillId="0" borderId="23" xfId="0" applyFont="1" applyBorder="1" applyAlignment="1">
      <alignment horizontal="left" vertical="center" wrapText="1"/>
    </xf>
    <xf numFmtId="7" fontId="23" fillId="0" borderId="24" xfId="0" applyNumberFormat="1" applyFont="1" applyBorder="1" applyAlignment="1">
      <alignment horizontal="center" vertical="center" wrapText="1"/>
    </xf>
    <xf numFmtId="0" fontId="23" fillId="0" borderId="20" xfId="0" applyFont="1" applyBorder="1" applyAlignment="1">
      <alignment horizontal="left" vertical="center" wrapText="1"/>
    </xf>
    <xf numFmtId="7" fontId="23" fillId="0" borderId="22" xfId="0" applyNumberFormat="1" applyFont="1" applyBorder="1" applyAlignment="1">
      <alignment horizontal="center" vertical="center" wrapText="1"/>
    </xf>
    <xf numFmtId="0" fontId="25" fillId="11" borderId="79" xfId="0" applyFont="1" applyFill="1" applyBorder="1" applyAlignment="1">
      <alignment vertical="center"/>
    </xf>
    <xf numFmtId="0" fontId="26" fillId="11" borderId="81" xfId="0" applyFont="1" applyFill="1" applyBorder="1" applyAlignment="1">
      <alignment horizontal="center" vertical="center" wrapText="1"/>
    </xf>
    <xf numFmtId="0" fontId="26" fillId="0" borderId="79" xfId="0" applyFont="1" applyFill="1" applyBorder="1" applyAlignment="1">
      <alignment vertical="center"/>
    </xf>
    <xf numFmtId="0" fontId="23" fillId="11" borderId="80" xfId="0" applyFont="1" applyFill="1" applyBorder="1" applyAlignment="1">
      <alignment horizontal="center" vertical="center"/>
    </xf>
    <xf numFmtId="5" fontId="27" fillId="0" borderId="0" xfId="1" applyNumberFormat="1" applyFont="1" applyFill="1" applyAlignment="1">
      <alignment horizontal="center" vertical="center"/>
    </xf>
    <xf numFmtId="5" fontId="28" fillId="0" borderId="0" xfId="1" applyNumberFormat="1" applyFont="1" applyBorder="1" applyAlignment="1">
      <alignment horizontal="center" vertical="center"/>
    </xf>
    <xf numFmtId="0" fontId="23" fillId="0" borderId="0" xfId="0" applyFont="1" applyAlignment="1">
      <alignment horizontal="center" vertical="center"/>
    </xf>
    <xf numFmtId="5" fontId="28" fillId="0" borderId="0" xfId="1" applyNumberFormat="1" applyFont="1" applyAlignment="1">
      <alignment horizontal="center" vertical="center"/>
    </xf>
    <xf numFmtId="164" fontId="8"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5" fillId="0" borderId="0" xfId="2" applyFont="1" applyAlignment="1">
      <alignment vertical="center"/>
    </xf>
    <xf numFmtId="164" fontId="2" fillId="9" borderId="0" xfId="1" applyNumberFormat="1" applyFont="1" applyFill="1" applyAlignment="1">
      <alignment vertical="center"/>
    </xf>
    <xf numFmtId="164" fontId="6"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6" fillId="0" borderId="0" xfId="1" applyNumberFormat="1" applyFont="1" applyAlignment="1">
      <alignment horizontal="left" vertical="center"/>
    </xf>
    <xf numFmtId="164" fontId="2" fillId="11" borderId="0" xfId="1" applyNumberFormat="1" applyFont="1" applyFill="1" applyAlignment="1">
      <alignment vertical="center"/>
    </xf>
    <xf numFmtId="164" fontId="1" fillId="0" borderId="34" xfId="1" applyNumberFormat="1" applyFont="1" applyFill="1" applyBorder="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7" fontId="1" fillId="0" borderId="33" xfId="1" applyNumberFormat="1" applyFont="1" applyBorder="1" applyAlignment="1">
      <alignment horizontal="center" vertical="center"/>
    </xf>
    <xf numFmtId="164" fontId="12" fillId="0" borderId="33" xfId="1" applyNumberFormat="1" applyFont="1" applyFill="1" applyBorder="1" applyAlignment="1">
      <alignment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5" fillId="0" borderId="0" xfId="1" applyNumberFormat="1" applyFont="1" applyBorder="1" applyAlignment="1">
      <alignment vertical="center"/>
    </xf>
    <xf numFmtId="164" fontId="7"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7" fillId="0" borderId="0" xfId="1" applyNumberFormat="1" applyFont="1" applyFill="1" applyBorder="1" applyAlignment="1">
      <alignment horizontal="left" vertical="center" wrapText="1"/>
    </xf>
    <xf numFmtId="164" fontId="15" fillId="0" borderId="0" xfId="1" applyNumberFormat="1" applyFont="1" applyFill="1" applyBorder="1" applyAlignment="1">
      <alignment vertical="center"/>
    </xf>
    <xf numFmtId="164" fontId="15" fillId="11" borderId="33"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164" fontId="0" fillId="0" borderId="0" xfId="1" applyNumberFormat="1" applyFont="1" applyBorder="1" applyAlignment="1">
      <alignment horizontal="left" vertical="center" wrapText="1"/>
    </xf>
    <xf numFmtId="164" fontId="0" fillId="0" borderId="0" xfId="1" applyNumberFormat="1" applyFont="1" applyBorder="1" applyAlignment="1">
      <alignment horizontal="center" vertical="center" wrapText="1"/>
    </xf>
    <xf numFmtId="9" fontId="0" fillId="0" borderId="0" xfId="2" applyFont="1" applyAlignment="1">
      <alignment vertical="center"/>
    </xf>
    <xf numFmtId="0" fontId="0" fillId="0" borderId="26" xfId="0" applyBorder="1" applyAlignment="1">
      <alignment vertical="center"/>
    </xf>
    <xf numFmtId="9" fontId="2" fillId="0" borderId="0" xfId="2" applyFont="1" applyBorder="1" applyAlignment="1">
      <alignment vertical="center"/>
    </xf>
    <xf numFmtId="9" fontId="15" fillId="11" borderId="29" xfId="2" applyNumberFormat="1" applyFont="1" applyFill="1" applyBorder="1" applyAlignment="1">
      <alignment vertical="center"/>
    </xf>
    <xf numFmtId="165" fontId="1" fillId="0" borderId="33" xfId="2" applyNumberFormat="1" applyFont="1" applyFill="1" applyBorder="1" applyAlignment="1">
      <alignment horizontal="center" vertical="center"/>
    </xf>
    <xf numFmtId="164" fontId="3" fillId="0" borderId="0" xfId="1" applyNumberFormat="1" applyFont="1" applyBorder="1" applyAlignment="1">
      <alignment vertical="center"/>
    </xf>
    <xf numFmtId="5" fontId="15" fillId="11" borderId="29" xfId="0" applyNumberFormat="1" applyFont="1" applyFill="1" applyBorder="1" applyAlignment="1">
      <alignment horizontal="right" vertical="center"/>
    </xf>
    <xf numFmtId="5" fontId="0" fillId="0" borderId="6" xfId="0" applyNumberFormat="1" applyFill="1" applyBorder="1" applyAlignment="1">
      <alignmen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5" fillId="0" borderId="28" xfId="0" applyFont="1" applyFill="1" applyBorder="1" applyAlignment="1">
      <alignment vertical="center"/>
    </xf>
    <xf numFmtId="5" fontId="15" fillId="0" borderId="29" xfId="0" applyNumberFormat="1" applyFont="1" applyFill="1" applyBorder="1" applyAlignment="1">
      <alignment vertical="center"/>
    </xf>
    <xf numFmtId="5" fontId="8" fillId="0" borderId="31" xfId="0" applyNumberFormat="1" applyFont="1" applyFill="1" applyBorder="1" applyAlignment="1">
      <alignment vertical="center"/>
    </xf>
    <xf numFmtId="5" fontId="2" fillId="0" borderId="7" xfId="0" applyNumberFormat="1" applyFont="1" applyFill="1" applyBorder="1" applyAlignment="1">
      <alignment vertical="center"/>
    </xf>
    <xf numFmtId="0" fontId="2" fillId="0" borderId="1" xfId="0" applyFont="1" applyFill="1" applyBorder="1" applyAlignment="1">
      <alignment vertical="center"/>
    </xf>
    <xf numFmtId="5" fontId="15" fillId="0" borderId="29" xfId="1" applyNumberFormat="1" applyFont="1" applyFill="1" applyBorder="1" applyAlignment="1">
      <alignment horizontal="right" vertical="center"/>
    </xf>
    <xf numFmtId="5" fontId="8" fillId="0" borderId="29" xfId="1" applyNumberFormat="1" applyFont="1" applyFill="1" applyBorder="1" applyAlignment="1">
      <alignment horizontal="right" vertical="center"/>
    </xf>
    <xf numFmtId="5" fontId="0" fillId="0" borderId="31" xfId="0" applyNumberFormat="1" applyFill="1" applyBorder="1" applyAlignment="1">
      <alignment vertical="center"/>
    </xf>
    <xf numFmtId="9" fontId="15" fillId="0" borderId="28" xfId="0" applyNumberFormat="1" applyFont="1" applyFill="1" applyBorder="1" applyAlignment="1">
      <alignment vertical="center"/>
    </xf>
    <xf numFmtId="165" fontId="0" fillId="0" borderId="31" xfId="2" applyNumberFormat="1" applyFont="1" applyFill="1" applyBorder="1" applyAlignment="1">
      <alignment vertical="center"/>
    </xf>
    <xf numFmtId="165" fontId="15" fillId="0" borderId="29" xfId="0" applyNumberFormat="1" applyFont="1" applyFill="1" applyBorder="1" applyAlignment="1">
      <alignment vertical="center"/>
    </xf>
    <xf numFmtId="165" fontId="7" fillId="0" borderId="29" xfId="0" applyNumberFormat="1" applyFont="1" applyFill="1" applyBorder="1" applyAlignment="1">
      <alignment vertical="center"/>
    </xf>
    <xf numFmtId="5" fontId="15" fillId="11" borderId="29" xfId="1" applyNumberFormat="1" applyFont="1" applyFill="1" applyBorder="1" applyAlignment="1">
      <alignment horizontal="right" vertical="center"/>
    </xf>
    <xf numFmtId="5" fontId="15" fillId="11" borderId="31" xfId="0" applyNumberFormat="1" applyFont="1" applyFill="1" applyBorder="1" applyAlignment="1">
      <alignment vertical="center"/>
    </xf>
    <xf numFmtId="165" fontId="15" fillId="11" borderId="28" xfId="0" applyNumberFormat="1" applyFont="1" applyFill="1" applyBorder="1" applyAlignment="1">
      <alignment vertical="center"/>
    </xf>
    <xf numFmtId="165" fontId="0" fillId="11" borderId="31" xfId="2" applyNumberFormat="1" applyFont="1" applyFill="1" applyBorder="1" applyAlignment="1">
      <alignment vertical="center"/>
    </xf>
    <xf numFmtId="165" fontId="15" fillId="11" borderId="29" xfId="0" applyNumberFormat="1" applyFont="1" applyFill="1" applyBorder="1" applyAlignment="1">
      <alignment vertical="center"/>
    </xf>
    <xf numFmtId="165" fontId="7" fillId="11" borderId="29" xfId="0" applyNumberFormat="1" applyFont="1" applyFill="1" applyBorder="1" applyAlignment="1">
      <alignment vertical="center"/>
    </xf>
    <xf numFmtId="171" fontId="0" fillId="0" borderId="0" xfId="1" applyNumberFormat="1" applyFont="1" applyAlignment="1">
      <alignment vertical="center"/>
    </xf>
    <xf numFmtId="5" fontId="7" fillId="11" borderId="29" xfId="0" applyNumberFormat="1" applyFont="1" applyFill="1" applyBorder="1" applyAlignment="1">
      <alignment vertical="center"/>
    </xf>
    <xf numFmtId="5" fontId="29" fillId="0" borderId="80" xfId="1" applyNumberFormat="1" applyFont="1" applyFill="1" applyBorder="1" applyAlignment="1">
      <alignment horizontal="center" vertical="center"/>
    </xf>
    <xf numFmtId="0" fontId="30" fillId="0" borderId="0" xfId="0" applyFont="1" applyBorder="1" applyAlignment="1">
      <alignment horizontal="center" vertical="center"/>
    </xf>
    <xf numFmtId="5" fontId="30" fillId="0" borderId="0" xfId="1" applyNumberFormat="1" applyFont="1" applyBorder="1" applyAlignment="1">
      <alignment horizontal="center" vertical="center"/>
    </xf>
    <xf numFmtId="5" fontId="30" fillId="0" borderId="21" xfId="1" applyNumberFormat="1" applyFont="1" applyBorder="1" applyAlignment="1">
      <alignment horizontal="center" vertical="center"/>
    </xf>
    <xf numFmtId="5" fontId="30" fillId="0" borderId="8" xfId="1" applyNumberFormat="1" applyFont="1" applyBorder="1" applyAlignment="1">
      <alignment horizontal="center" vertical="center"/>
    </xf>
    <xf numFmtId="0" fontId="30" fillId="0" borderId="18" xfId="0" applyFont="1" applyBorder="1" applyAlignment="1">
      <alignment horizontal="center" vertical="center"/>
    </xf>
    <xf numFmtId="165" fontId="13" fillId="0" borderId="0" xfId="2" applyNumberFormat="1" applyFont="1" applyFill="1" applyAlignment="1">
      <alignment horizontal="center" vertical="center" wrapText="1"/>
    </xf>
    <xf numFmtId="167" fontId="7"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5" fillId="0" borderId="29" xfId="0" applyNumberFormat="1" applyFont="1" applyFill="1" applyBorder="1" applyAlignment="1">
      <alignment horizontal="right" vertical="center"/>
    </xf>
    <xf numFmtId="9" fontId="15" fillId="0" borderId="29" xfId="2" applyNumberFormat="1" applyFont="1" applyFill="1" applyBorder="1" applyAlignment="1">
      <alignment vertical="center"/>
    </xf>
    <xf numFmtId="5" fontId="15" fillId="0" borderId="31" xfId="0" applyNumberFormat="1" applyFont="1" applyFill="1" applyBorder="1" applyAlignment="1">
      <alignment vertical="center"/>
    </xf>
    <xf numFmtId="165" fontId="15" fillId="0" borderId="28" xfId="0" applyNumberFormat="1" applyFont="1" applyFill="1" applyBorder="1" applyAlignment="1">
      <alignment vertical="center"/>
    </xf>
    <xf numFmtId="5" fontId="7" fillId="0" borderId="29" xfId="0" applyNumberFormat="1" applyFont="1" applyFill="1" applyBorder="1" applyAlignment="1">
      <alignment vertical="center"/>
    </xf>
    <xf numFmtId="10" fontId="0" fillId="0" borderId="0" xfId="2" applyNumberFormat="1" applyFont="1" applyFill="1" applyAlignment="1">
      <alignment vertical="center"/>
    </xf>
    <xf numFmtId="5" fontId="15" fillId="0" borderId="25" xfId="0" applyNumberFormat="1" applyFont="1" applyFill="1" applyBorder="1" applyAlignment="1">
      <alignment vertical="center"/>
    </xf>
    <xf numFmtId="5" fontId="0" fillId="0" borderId="25" xfId="0" applyNumberFormat="1" applyFill="1" applyBorder="1" applyAlignment="1">
      <alignment vertical="center"/>
    </xf>
    <xf numFmtId="0" fontId="8" fillId="0" borderId="25" xfId="0" applyFont="1" applyBorder="1" applyAlignment="1">
      <alignment vertical="center"/>
    </xf>
    <xf numFmtId="5" fontId="8" fillId="0" borderId="0" xfId="0" applyNumberFormat="1" applyFont="1" applyFill="1" applyBorder="1" applyAlignment="1">
      <alignment vertical="center"/>
    </xf>
    <xf numFmtId="0" fontId="0" fillId="0" borderId="28" xfId="0" applyFill="1" applyBorder="1" applyAlignment="1">
      <alignment horizontal="left" vertical="center"/>
    </xf>
    <xf numFmtId="0" fontId="0" fillId="0" borderId="83" xfId="0" applyBorder="1" applyAlignment="1">
      <alignment vertical="center"/>
    </xf>
    <xf numFmtId="7" fontId="0" fillId="0" borderId="0" xfId="0" applyNumberFormat="1" applyAlignment="1">
      <alignment vertical="center"/>
    </xf>
    <xf numFmtId="5" fontId="8" fillId="0" borderId="59" xfId="1" applyNumberFormat="1" applyFont="1" applyFill="1" applyBorder="1" applyAlignment="1">
      <alignment vertical="center"/>
    </xf>
    <xf numFmtId="5" fontId="8" fillId="0" borderId="60" xfId="1" applyNumberFormat="1" applyFont="1" applyFill="1" applyBorder="1" applyAlignment="1">
      <alignment vertical="center"/>
    </xf>
    <xf numFmtId="0" fontId="0" fillId="0" borderId="53" xfId="0" applyFill="1" applyBorder="1" applyAlignment="1">
      <alignment vertical="center"/>
    </xf>
    <xf numFmtId="165" fontId="7" fillId="11" borderId="29" xfId="2" applyNumberFormat="1" applyFont="1" applyFill="1" applyBorder="1" applyAlignment="1">
      <alignment vertical="center"/>
    </xf>
    <xf numFmtId="10" fontId="15" fillId="11" borderId="26" xfId="2" applyNumberFormat="1" applyFont="1" applyFill="1" applyBorder="1" applyAlignment="1">
      <alignment horizontal="right" vertical="center"/>
    </xf>
    <xf numFmtId="10" fontId="15"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3" fillId="0" borderId="0" xfId="1" applyNumberFormat="1" applyFont="1" applyFill="1" applyBorder="1" applyAlignment="1">
      <alignment horizontal="right" vertical="center"/>
    </xf>
    <xf numFmtId="5" fontId="13" fillId="0" borderId="26" xfId="1" applyNumberFormat="1" applyFont="1" applyFill="1" applyBorder="1" applyAlignment="1">
      <alignment horizontal="right" vertical="center"/>
    </xf>
    <xf numFmtId="5" fontId="13"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6" xfId="2" applyNumberFormat="1" applyFont="1" applyFill="1" applyBorder="1" applyAlignment="1">
      <alignment vertical="center"/>
    </xf>
    <xf numFmtId="165" fontId="0" fillId="0" borderId="29" xfId="2" applyNumberFormat="1" applyFont="1" applyFill="1" applyBorder="1" applyAlignment="1">
      <alignment vertical="center"/>
    </xf>
    <xf numFmtId="165" fontId="0" fillId="11" borderId="26" xfId="2" applyNumberFormat="1" applyFont="1" applyFill="1" applyBorder="1" applyAlignment="1">
      <alignment vertical="center"/>
    </xf>
    <xf numFmtId="165" fontId="15" fillId="11" borderId="26"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5" fontId="7" fillId="0" borderId="26" xfId="0" applyNumberFormat="1" applyFont="1" applyFill="1" applyBorder="1" applyAlignment="1">
      <alignment vertical="center"/>
    </xf>
    <xf numFmtId="5" fontId="0" fillId="11" borderId="26" xfId="0" applyNumberFormat="1" applyFont="1" applyFill="1" applyBorder="1" applyAlignment="1">
      <alignment vertical="center"/>
    </xf>
    <xf numFmtId="0" fontId="0" fillId="11" borderId="25" xfId="0" applyFill="1" applyBorder="1" applyAlignment="1">
      <alignment vertical="center"/>
    </xf>
    <xf numFmtId="0" fontId="0" fillId="0" borderId="32" xfId="0" applyBorder="1" applyAlignment="1">
      <alignment horizontal="center" vertical="center"/>
    </xf>
    <xf numFmtId="0" fontId="15" fillId="0" borderId="33" xfId="0" applyFont="1" applyFill="1" applyBorder="1" applyAlignment="1">
      <alignment horizontal="center" vertical="center"/>
    </xf>
    <xf numFmtId="0" fontId="15" fillId="0" borderId="53" xfId="0" applyFont="1" applyFill="1" applyBorder="1" applyAlignment="1">
      <alignment horizontal="center" vertical="center"/>
    </xf>
    <xf numFmtId="0" fontId="7" fillId="0" borderId="59" xfId="0" applyFont="1" applyBorder="1" applyAlignment="1">
      <alignment horizontal="center" vertical="center"/>
    </xf>
    <xf numFmtId="0" fontId="15" fillId="0" borderId="0" xfId="0" applyFont="1" applyBorder="1" applyAlignment="1">
      <alignment horizontal="center" vertical="center"/>
    </xf>
    <xf numFmtId="0" fontId="7" fillId="0" borderId="8" xfId="0" applyFont="1" applyBorder="1" applyAlignment="1">
      <alignment horizontal="center" vertical="center"/>
    </xf>
    <xf numFmtId="0" fontId="15" fillId="0" borderId="6"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0" fillId="0" borderId="8" xfId="0" applyBorder="1" applyAlignment="1">
      <alignment horizontal="center" vertical="center"/>
    </xf>
    <xf numFmtId="5" fontId="15" fillId="0" borderId="0" xfId="1" applyNumberFormat="1" applyFont="1" applyBorder="1" applyAlignment="1">
      <alignment horizontal="center" vertical="center"/>
    </xf>
    <xf numFmtId="5" fontId="15" fillId="0" borderId="8" xfId="1" applyNumberFormat="1" applyFont="1" applyBorder="1" applyAlignment="1">
      <alignment horizontal="center" vertical="center"/>
    </xf>
    <xf numFmtId="5" fontId="7" fillId="0" borderId="6" xfId="1" applyNumberFormat="1" applyFont="1" applyBorder="1" applyAlignment="1">
      <alignment horizontal="center" vertical="center"/>
    </xf>
    <xf numFmtId="5" fontId="7" fillId="0" borderId="0" xfId="1" applyNumberFormat="1" applyFont="1" applyBorder="1" applyAlignment="1">
      <alignment horizontal="center" vertical="center"/>
    </xf>
    <xf numFmtId="0" fontId="7" fillId="0" borderId="59" xfId="0" applyFont="1" applyBorder="1" applyAlignment="1">
      <alignment horizontal="right" vertical="center"/>
    </xf>
    <xf numFmtId="0" fontId="15" fillId="0" borderId="0" xfId="0" applyFont="1" applyBorder="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0" xfId="0" applyFont="1" applyBorder="1" applyAlignment="1">
      <alignment horizontal="right" vertical="center"/>
    </xf>
    <xf numFmtId="0" fontId="15" fillId="0" borderId="0" xfId="0" applyFont="1" applyFill="1" applyBorder="1" applyAlignment="1">
      <alignment horizontal="right" vertical="center"/>
    </xf>
    <xf numFmtId="5" fontId="15" fillId="0" borderId="8" xfId="1" applyNumberFormat="1" applyFont="1" applyBorder="1" applyAlignment="1">
      <alignment vertical="center"/>
    </xf>
    <xf numFmtId="5" fontId="8" fillId="0" borderId="6" xfId="1" applyNumberFormat="1" applyFont="1" applyFill="1" applyBorder="1" applyAlignment="1">
      <alignment vertical="center"/>
    </xf>
    <xf numFmtId="0" fontId="15" fillId="0" borderId="18" xfId="0" applyFont="1" applyBorder="1" applyAlignment="1">
      <alignment horizontal="right" vertical="center"/>
    </xf>
    <xf numFmtId="5" fontId="8" fillId="0" borderId="77" xfId="1" applyNumberFormat="1" applyFont="1" applyFill="1" applyBorder="1" applyAlignment="1">
      <alignment vertical="center"/>
    </xf>
    <xf numFmtId="5" fontId="2" fillId="0" borderId="56" xfId="1" applyNumberFormat="1" applyFont="1" applyFill="1" applyBorder="1" applyAlignment="1">
      <alignment horizontal="center" vertical="center"/>
    </xf>
    <xf numFmtId="5" fontId="8" fillId="0" borderId="53" xfId="1" applyNumberFormat="1" applyFont="1" applyFill="1" applyBorder="1" applyAlignment="1">
      <alignment horizontal="center" vertical="center"/>
    </xf>
    <xf numFmtId="0" fontId="0" fillId="0" borderId="54" xfId="0" applyFill="1" applyBorder="1" applyAlignment="1">
      <alignment vertical="center"/>
    </xf>
    <xf numFmtId="0" fontId="0" fillId="0" borderId="61" xfId="0" applyFill="1" applyBorder="1" applyAlignment="1">
      <alignment vertical="center"/>
    </xf>
    <xf numFmtId="5" fontId="8" fillId="0" borderId="61" xfId="1" applyNumberFormat="1" applyFont="1" applyFill="1" applyBorder="1" applyAlignment="1">
      <alignment vertical="center"/>
    </xf>
    <xf numFmtId="5" fontId="8" fillId="0" borderId="53" xfId="1" applyNumberFormat="1" applyFont="1" applyFill="1" applyBorder="1" applyAlignment="1">
      <alignment vertical="center"/>
    </xf>
    <xf numFmtId="0" fontId="0" fillId="0" borderId="62" xfId="0" applyFill="1" applyBorder="1" applyAlignment="1">
      <alignment vertical="center"/>
    </xf>
    <xf numFmtId="5" fontId="15" fillId="0" borderId="0" xfId="1" applyNumberFormat="1" applyFont="1" applyFill="1" applyAlignment="1">
      <alignment vertical="center"/>
    </xf>
    <xf numFmtId="0" fontId="0" fillId="0" borderId="56" xfId="0" applyFill="1" applyBorder="1" applyAlignment="1">
      <alignment vertical="center"/>
    </xf>
    <xf numFmtId="5" fontId="8" fillId="0" borderId="0" xfId="1" applyNumberFormat="1" applyFont="1" applyFill="1" applyBorder="1" applyAlignment="1">
      <alignment vertical="center"/>
    </xf>
    <xf numFmtId="165" fontId="8" fillId="0" borderId="0" xfId="2" applyNumberFormat="1" applyFont="1" applyFill="1" applyBorder="1" applyAlignment="1">
      <alignment vertical="center"/>
    </xf>
    <xf numFmtId="165" fontId="8" fillId="0" borderId="54" xfId="2" applyNumberFormat="1" applyFont="1" applyFill="1" applyBorder="1" applyAlignment="1">
      <alignment vertical="center"/>
    </xf>
    <xf numFmtId="0" fontId="2" fillId="0" borderId="55" xfId="0" applyFont="1" applyFill="1" applyBorder="1" applyAlignment="1">
      <alignment vertical="center"/>
    </xf>
    <xf numFmtId="0" fontId="2" fillId="0" borderId="53" xfId="0" applyFont="1" applyFill="1" applyBorder="1" applyAlignment="1">
      <alignment vertical="center"/>
    </xf>
    <xf numFmtId="0" fontId="2" fillId="0" borderId="61" xfId="0" applyFont="1" applyFill="1" applyBorder="1" applyAlignment="1">
      <alignment vertical="center"/>
    </xf>
    <xf numFmtId="0" fontId="2" fillId="0" borderId="84" xfId="0" applyFont="1" applyFill="1" applyBorder="1" applyAlignment="1">
      <alignment horizontal="center" vertical="center" wrapText="1"/>
    </xf>
    <xf numFmtId="0" fontId="2" fillId="11" borderId="85" xfId="0" applyFont="1" applyFill="1" applyBorder="1" applyAlignment="1">
      <alignment horizontal="center" vertical="center" wrapText="1"/>
    </xf>
    <xf numFmtId="0" fontId="0" fillId="0" borderId="86" xfId="0" applyBorder="1" applyAlignment="1">
      <alignment horizontal="center" vertical="center"/>
    </xf>
    <xf numFmtId="0" fontId="0" fillId="0" borderId="87" xfId="0" applyBorder="1" applyAlignment="1">
      <alignment horizontal="center" vertical="center"/>
    </xf>
    <xf numFmtId="0" fontId="15" fillId="0" borderId="88" xfId="0" applyFont="1" applyFill="1" applyBorder="1" applyAlignment="1">
      <alignment horizontal="center" vertical="center"/>
    </xf>
    <xf numFmtId="0" fontId="15" fillId="0" borderId="89" xfId="0" applyFont="1" applyFill="1" applyBorder="1" applyAlignment="1">
      <alignment horizontal="center" vertical="center"/>
    </xf>
    <xf numFmtId="0" fontId="0" fillId="0" borderId="90" xfId="0" applyBorder="1" applyAlignment="1">
      <alignment vertical="center"/>
    </xf>
    <xf numFmtId="0" fontId="0" fillId="0" borderId="86" xfId="0" applyBorder="1" applyAlignment="1">
      <alignment vertical="center"/>
    </xf>
    <xf numFmtId="0" fontId="15" fillId="0" borderId="87" xfId="0" applyFont="1" applyBorder="1" applyAlignment="1">
      <alignment horizontal="center" vertical="center"/>
    </xf>
    <xf numFmtId="5" fontId="13" fillId="0" borderId="85" xfId="1" applyNumberFormat="1" applyFont="1" applyFill="1" applyBorder="1" applyAlignment="1">
      <alignment horizontal="center" vertical="center"/>
    </xf>
    <xf numFmtId="5" fontId="2" fillId="11" borderId="85" xfId="1" applyNumberFormat="1" applyFont="1" applyFill="1" applyBorder="1" applyAlignment="1">
      <alignment horizontal="center" vertical="center"/>
    </xf>
    <xf numFmtId="0" fontId="15" fillId="0" borderId="90" xfId="0" applyFont="1" applyBorder="1" applyAlignment="1">
      <alignment horizontal="center" vertical="center"/>
    </xf>
    <xf numFmtId="0" fontId="7" fillId="0" borderId="90" xfId="0" applyFont="1" applyBorder="1" applyAlignment="1">
      <alignment horizontal="center" vertical="center"/>
    </xf>
    <xf numFmtId="0" fontId="15" fillId="0" borderId="86" xfId="0" applyFont="1" applyBorder="1" applyAlignment="1">
      <alignment horizontal="center" vertical="center"/>
    </xf>
    <xf numFmtId="0" fontId="7" fillId="0" borderId="91" xfId="0" applyFont="1" applyBorder="1" applyAlignment="1">
      <alignment horizontal="center" vertical="center"/>
    </xf>
    <xf numFmtId="0" fontId="15" fillId="0" borderId="92" xfId="0" applyFont="1" applyBorder="1" applyAlignment="1">
      <alignment horizontal="center" vertical="center"/>
    </xf>
    <xf numFmtId="0" fontId="7" fillId="0" borderId="92" xfId="0" applyFont="1" applyBorder="1" applyAlignment="1">
      <alignment horizontal="center" vertical="center"/>
    </xf>
    <xf numFmtId="0" fontId="7" fillId="0" borderId="86" xfId="0" applyFont="1" applyBorder="1" applyAlignment="1">
      <alignment horizontal="center" vertical="center"/>
    </xf>
    <xf numFmtId="0" fontId="0" fillId="0" borderId="91" xfId="0" applyBorder="1" applyAlignment="1">
      <alignment horizontal="center" vertical="center"/>
    </xf>
    <xf numFmtId="5" fontId="15" fillId="0" borderId="86" xfId="1" applyNumberFormat="1" applyFont="1" applyBorder="1" applyAlignment="1">
      <alignment horizontal="center" vertical="center"/>
    </xf>
    <xf numFmtId="5" fontId="15" fillId="0" borderId="91" xfId="1" applyNumberFormat="1" applyFont="1" applyBorder="1" applyAlignment="1">
      <alignment horizontal="center" vertical="center"/>
    </xf>
    <xf numFmtId="5" fontId="7" fillId="0" borderId="92" xfId="1" applyNumberFormat="1" applyFont="1" applyBorder="1" applyAlignment="1">
      <alignment horizontal="center" vertical="center"/>
    </xf>
    <xf numFmtId="5" fontId="7" fillId="0" borderId="86" xfId="1" applyNumberFormat="1" applyFont="1" applyBorder="1" applyAlignment="1">
      <alignment horizontal="center" vertical="center"/>
    </xf>
    <xf numFmtId="5" fontId="8" fillId="0" borderId="89" xfId="1" applyNumberFormat="1" applyFont="1" applyFill="1" applyBorder="1" applyAlignment="1">
      <alignment horizontal="center" vertical="center"/>
    </xf>
    <xf numFmtId="5" fontId="8" fillId="11" borderId="89" xfId="1" applyNumberFormat="1" applyFont="1" applyFill="1" applyBorder="1" applyAlignment="1">
      <alignment horizontal="center" vertical="center"/>
    </xf>
    <xf numFmtId="0" fontId="7" fillId="0" borderId="90" xfId="0" applyFont="1" applyBorder="1" applyAlignment="1">
      <alignment horizontal="right" vertical="center"/>
    </xf>
    <xf numFmtId="0" fontId="15" fillId="0" borderId="86" xfId="0" applyFont="1" applyBorder="1" applyAlignment="1">
      <alignment horizontal="right" vertical="center"/>
    </xf>
    <xf numFmtId="0" fontId="7" fillId="0" borderId="91" xfId="0" applyFont="1" applyBorder="1" applyAlignment="1">
      <alignment horizontal="right" vertical="center"/>
    </xf>
    <xf numFmtId="0" fontId="7" fillId="0" borderId="92" xfId="0" applyFont="1" applyBorder="1" applyAlignment="1">
      <alignment horizontal="right" vertical="center"/>
    </xf>
    <xf numFmtId="0" fontId="7" fillId="0" borderId="86" xfId="0" applyFont="1" applyBorder="1" applyAlignment="1">
      <alignment horizontal="right" vertical="center"/>
    </xf>
    <xf numFmtId="0" fontId="15" fillId="0" borderId="86" xfId="0" applyFont="1" applyFill="1" applyBorder="1" applyAlignment="1">
      <alignment horizontal="right" vertical="center"/>
    </xf>
    <xf numFmtId="0" fontId="0" fillId="0" borderId="91" xfId="0" applyFill="1" applyBorder="1" applyAlignment="1">
      <alignment vertical="center"/>
    </xf>
    <xf numFmtId="0" fontId="15" fillId="0" borderId="92" xfId="0" applyFont="1" applyBorder="1" applyAlignment="1">
      <alignment vertical="center"/>
    </xf>
    <xf numFmtId="5" fontId="15" fillId="0" borderId="91" xfId="1" applyNumberFormat="1" applyFont="1" applyBorder="1" applyAlignment="1">
      <alignment vertical="center"/>
    </xf>
    <xf numFmtId="5" fontId="8" fillId="0" borderId="93" xfId="1" applyNumberFormat="1" applyFont="1" applyFill="1" applyBorder="1" applyAlignment="1">
      <alignment vertical="center"/>
    </xf>
    <xf numFmtId="5" fontId="8" fillId="11" borderId="93" xfId="1" applyNumberFormat="1" applyFont="1" applyFill="1" applyBorder="1" applyAlignment="1">
      <alignment vertical="center"/>
    </xf>
    <xf numFmtId="5" fontId="8" fillId="0" borderId="92" xfId="1" applyNumberFormat="1" applyFont="1" applyFill="1" applyBorder="1" applyAlignment="1">
      <alignment vertical="center"/>
    </xf>
    <xf numFmtId="0" fontId="15" fillId="0" borderId="94" xfId="0" applyFont="1" applyBorder="1" applyAlignment="1">
      <alignment horizontal="right" vertical="center"/>
    </xf>
    <xf numFmtId="5" fontId="8" fillId="0" borderId="95" xfId="1" applyNumberFormat="1" applyFont="1" applyFill="1" applyBorder="1" applyAlignment="1">
      <alignment vertical="center"/>
    </xf>
    <xf numFmtId="5" fontId="8" fillId="0" borderId="89" xfId="1" applyNumberFormat="1" applyFont="1" applyFill="1" applyBorder="1" applyAlignment="1">
      <alignment vertical="center"/>
    </xf>
    <xf numFmtId="5" fontId="8" fillId="11" borderId="89" xfId="1" applyNumberFormat="1" applyFont="1" applyFill="1" applyBorder="1" applyAlignment="1">
      <alignment vertical="center"/>
    </xf>
    <xf numFmtId="5" fontId="8" fillId="0" borderId="85" xfId="1" applyNumberFormat="1" applyFont="1" applyFill="1" applyBorder="1" applyAlignment="1">
      <alignment vertical="center"/>
    </xf>
    <xf numFmtId="5" fontId="8" fillId="11" borderId="96" xfId="1" applyNumberFormat="1" applyFont="1" applyFill="1" applyBorder="1" applyAlignment="1">
      <alignment vertical="center"/>
    </xf>
    <xf numFmtId="5" fontId="8" fillId="0" borderId="7" xfId="1" applyNumberFormat="1" applyFont="1" applyFill="1" applyBorder="1" applyAlignment="1">
      <alignment horizontal="right" vertical="center"/>
    </xf>
    <xf numFmtId="5" fontId="8" fillId="11" borderId="7" xfId="1" applyNumberFormat="1" applyFont="1" applyFill="1" applyBorder="1" applyAlignment="1">
      <alignment horizontal="right" vertical="center"/>
    </xf>
    <xf numFmtId="164" fontId="15" fillId="11" borderId="34" xfId="1" applyNumberFormat="1" applyFont="1" applyFill="1" applyBorder="1" applyAlignment="1">
      <alignment vertical="center"/>
    </xf>
    <xf numFmtId="164" fontId="0" fillId="0" borderId="0" xfId="1" applyNumberFormat="1" applyFont="1" applyAlignment="1">
      <alignment horizontal="left" vertical="center" wrapText="1"/>
    </xf>
    <xf numFmtId="164" fontId="7" fillId="10" borderId="33" xfId="1" applyNumberFormat="1" applyFont="1" applyFill="1" applyBorder="1" applyAlignment="1">
      <alignment horizontal="left" vertical="center" wrapText="1"/>
    </xf>
    <xf numFmtId="164" fontId="7" fillId="0" borderId="97" xfId="1" applyNumberFormat="1" applyFont="1" applyFill="1" applyBorder="1" applyAlignment="1">
      <alignment horizontal="left" vertical="center" wrapText="1"/>
    </xf>
    <xf numFmtId="172" fontId="0" fillId="0" borderId="0" xfId="2" applyNumberFormat="1" applyFont="1" applyAlignment="1">
      <alignment vertical="center"/>
    </xf>
    <xf numFmtId="164" fontId="8" fillId="0" borderId="0" xfId="1" applyNumberFormat="1" applyFont="1" applyFill="1" applyBorder="1" applyAlignment="1">
      <alignment horizontal="left" vertical="center" wrapText="1"/>
    </xf>
    <xf numFmtId="9" fontId="31" fillId="8" borderId="0" xfId="2" applyFont="1" applyFill="1" applyAlignment="1">
      <alignment vertical="center"/>
    </xf>
    <xf numFmtId="164" fontId="0" fillId="0" borderId="0" xfId="1" applyNumberFormat="1" applyFont="1" applyAlignment="1">
      <alignment horizontal="left" vertical="center" wrapText="1"/>
    </xf>
    <xf numFmtId="164" fontId="13" fillId="0" borderId="8" xfId="1" applyNumberFormat="1" applyFont="1" applyBorder="1" applyAlignment="1">
      <alignment horizontal="center" vertical="center" wrapText="1"/>
    </xf>
    <xf numFmtId="164" fontId="13" fillId="0" borderId="0" xfId="1" applyNumberFormat="1" applyFont="1" applyBorder="1" applyAlignment="1">
      <alignment horizontal="center" vertical="center" wrapText="1"/>
    </xf>
    <xf numFmtId="164" fontId="13" fillId="0" borderId="5" xfId="1" applyNumberFormat="1" applyFont="1" applyBorder="1" applyAlignment="1">
      <alignment horizontal="center" vertical="center" wrapText="1"/>
    </xf>
    <xf numFmtId="164" fontId="0" fillId="0" borderId="98" xfId="1" applyNumberFormat="1" applyFont="1" applyBorder="1" applyAlignment="1">
      <alignment vertical="center"/>
    </xf>
    <xf numFmtId="164" fontId="15" fillId="0" borderId="99" xfId="1" applyNumberFormat="1" applyFont="1" applyFill="1" applyBorder="1" applyAlignment="1">
      <alignment vertical="center"/>
    </xf>
    <xf numFmtId="164" fontId="7" fillId="0" borderId="99" xfId="1" applyNumberFormat="1" applyFont="1" applyBorder="1" applyAlignment="1">
      <alignment vertical="center"/>
    </xf>
    <xf numFmtId="165" fontId="0" fillId="0" borderId="100" xfId="2" applyNumberFormat="1" applyFont="1" applyBorder="1" applyAlignment="1">
      <alignment horizontal="center" vertical="center"/>
    </xf>
    <xf numFmtId="164" fontId="0" fillId="0" borderId="101" xfId="1" applyNumberFormat="1" applyFont="1" applyBorder="1" applyAlignment="1">
      <alignment vertical="center"/>
    </xf>
    <xf numFmtId="165" fontId="0" fillId="0" borderId="102"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9" fontId="12" fillId="0" borderId="0" xfId="2" applyFont="1" applyAlignment="1">
      <alignment vertical="center"/>
    </xf>
    <xf numFmtId="0" fontId="25" fillId="0" borderId="0" xfId="0" applyFont="1" applyAlignment="1">
      <alignment horizontal="center" vertical="center" wrapText="1"/>
    </xf>
    <xf numFmtId="0" fontId="26" fillId="0" borderId="17" xfId="0" applyFont="1" applyFill="1" applyBorder="1" applyAlignment="1">
      <alignment vertical="center"/>
    </xf>
    <xf numFmtId="5" fontId="29" fillId="0" borderId="18" xfId="1" applyNumberFormat="1" applyFont="1" applyFill="1" applyBorder="1" applyAlignment="1">
      <alignment horizontal="center" vertical="center"/>
    </xf>
    <xf numFmtId="5" fontId="29" fillId="0" borderId="21" xfId="1" applyNumberFormat="1" applyFont="1" applyFill="1" applyBorder="1" applyAlignment="1">
      <alignment horizontal="center" vertical="center"/>
    </xf>
    <xf numFmtId="0" fontId="23" fillId="0" borderId="20" xfId="0" applyFont="1" applyFill="1" applyBorder="1" applyAlignment="1">
      <alignment vertical="center"/>
    </xf>
    <xf numFmtId="164" fontId="0" fillId="0" borderId="0" xfId="1" applyNumberFormat="1" applyFont="1" applyAlignment="1">
      <alignment horizontal="left" vertical="center" wrapText="1"/>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vertical="center"/>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8" fontId="2" fillId="4" borderId="12" xfId="1" applyNumberFormat="1" applyFont="1" applyFill="1" applyBorder="1" applyAlignment="1">
      <alignment horizontal="center"/>
    </xf>
    <xf numFmtId="164"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0" fillId="0" borderId="33" xfId="1" applyNumberFormat="1" applyFont="1" applyFill="1" applyBorder="1" applyAlignment="1">
      <alignment horizontal="center" vertical="center" wrapText="1"/>
    </xf>
    <xf numFmtId="164" fontId="0" fillId="0" borderId="34" xfId="1" applyNumberFormat="1" applyFont="1" applyBorder="1" applyAlignment="1">
      <alignment horizontal="left" vertical="center" wrapText="1"/>
    </xf>
    <xf numFmtId="168" fontId="2" fillId="4" borderId="39" xfId="1" applyNumberFormat="1" applyFont="1" applyFill="1" applyBorder="1" applyAlignment="1">
      <alignment horizontal="center"/>
    </xf>
    <xf numFmtId="168" fontId="2" fillId="4" borderId="40" xfId="1" applyNumberFormat="1" applyFont="1" applyFill="1" applyBorder="1" applyAlignment="1">
      <alignment horizontal="center"/>
    </xf>
    <xf numFmtId="168" fontId="2" fillId="4" borderId="38" xfId="1" applyNumberFormat="1" applyFont="1" applyFill="1" applyBorder="1" applyAlignment="1">
      <alignment horizontal="center" vertical="center"/>
    </xf>
    <xf numFmtId="168" fontId="2" fillId="4" borderId="33" xfId="1" applyNumberFormat="1" applyFont="1" applyFill="1" applyBorder="1" applyAlignment="1">
      <alignment horizontal="center" vertical="center"/>
    </xf>
    <xf numFmtId="164" fontId="7" fillId="0" borderId="33" xfId="1" applyNumberFormat="1" applyFont="1" applyBorder="1" applyAlignment="1">
      <alignment horizontal="left" vertical="center" wrapText="1"/>
    </xf>
    <xf numFmtId="164" fontId="8" fillId="0" borderId="9"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164" fontId="8" fillId="0" borderId="10" xfId="1" applyNumberFormat="1" applyFont="1" applyBorder="1" applyAlignment="1">
      <alignment horizontal="center" vertical="center" wrapText="1"/>
    </xf>
    <xf numFmtId="164" fontId="14" fillId="0" borderId="0" xfId="1" applyNumberFormat="1" applyFont="1" applyAlignment="1">
      <alignment horizontal="center" vertical="center" wrapText="1"/>
    </xf>
    <xf numFmtId="1" fontId="8" fillId="7" borderId="4" xfId="1" applyNumberFormat="1" applyFont="1" applyFill="1" applyBorder="1" applyAlignment="1">
      <alignment horizontal="center" vertical="center"/>
    </xf>
    <xf numFmtId="1" fontId="8" fillId="7" borderId="6" xfId="1" applyNumberFormat="1" applyFont="1" applyFill="1" applyBorder="1" applyAlignment="1">
      <alignment horizontal="center" vertical="center"/>
    </xf>
    <xf numFmtId="1" fontId="8"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3" fillId="0" borderId="4" xfId="1" applyNumberFormat="1" applyFont="1" applyBorder="1" applyAlignment="1">
      <alignment horizontal="center" vertical="center" wrapText="1"/>
    </xf>
    <xf numFmtId="164" fontId="13" fillId="0" borderId="9" xfId="1" applyNumberFormat="1" applyFont="1" applyBorder="1" applyAlignment="1">
      <alignment horizontal="center" vertical="center" wrapText="1"/>
    </xf>
    <xf numFmtId="164" fontId="13" fillId="0" borderId="6" xfId="1" applyNumberFormat="1" applyFont="1" applyBorder="1" applyAlignment="1">
      <alignment horizontal="center" vertical="center" wrapText="1"/>
    </xf>
    <xf numFmtId="164" fontId="13" fillId="0" borderId="8"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164" fontId="8" fillId="0" borderId="6"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164" fontId="2" fillId="9" borderId="0" xfId="1" applyNumberFormat="1" applyFont="1" applyFill="1" applyAlignment="1">
      <alignment horizontal="center" vertical="center" wrapText="1"/>
    </xf>
    <xf numFmtId="164" fontId="8" fillId="0" borderId="25" xfId="1" applyNumberFormat="1" applyFont="1" applyBorder="1" applyAlignment="1">
      <alignment horizontal="center" vertical="center" wrapText="1"/>
    </xf>
    <xf numFmtId="164" fontId="8" fillId="0" borderId="0" xfId="1" applyNumberFormat="1" applyFont="1" applyBorder="1" applyAlignment="1">
      <alignment horizontal="center" vertical="center" wrapText="1"/>
    </xf>
    <xf numFmtId="0" fontId="6" fillId="0" borderId="0" xfId="0" applyFont="1" applyAlignment="1">
      <alignment horizont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5" fontId="0" fillId="7" borderId="25" xfId="0" applyNumberFormat="1" applyFill="1" applyBorder="1" applyAlignment="1">
      <alignment horizontal="center" vertical="center" wrapText="1"/>
    </xf>
    <xf numFmtId="0" fontId="0" fillId="0" borderId="25" xfId="0" applyFill="1" applyBorder="1" applyAlignment="1">
      <alignment horizontal="center" vertical="center" wrapText="1"/>
    </xf>
    <xf numFmtId="0" fontId="22" fillId="0" borderId="0" xfId="0" applyFont="1" applyAlignment="1">
      <alignment horizontal="center" vertical="center"/>
    </xf>
    <xf numFmtId="0" fontId="2" fillId="0" borderId="68" xfId="0" applyFont="1" applyBorder="1" applyAlignment="1">
      <alignment horizontal="center" vertical="center" textRotation="90" wrapText="1"/>
    </xf>
    <xf numFmtId="0" fontId="2" fillId="0" borderId="69"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0" fillId="0" borderId="61" xfId="0" applyFill="1" applyBorder="1" applyAlignment="1">
      <alignment horizontal="left" vertical="center" wrapText="1"/>
    </xf>
    <xf numFmtId="0" fontId="0" fillId="0" borderId="62" xfId="0" applyFill="1" applyBorder="1" applyAlignment="1">
      <alignment horizontal="left" vertical="center" wrapText="1"/>
    </xf>
    <xf numFmtId="0" fontId="2" fillId="11" borderId="55" xfId="0" applyFont="1" applyFill="1" applyBorder="1" applyAlignment="1">
      <alignment horizontal="center" vertical="center"/>
    </xf>
    <xf numFmtId="0" fontId="2" fillId="11" borderId="56" xfId="0" applyFont="1" applyFill="1" applyBorder="1" applyAlignment="1">
      <alignment horizontal="center" vertical="center"/>
    </xf>
    <xf numFmtId="0" fontId="2" fillId="11" borderId="57"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0" fillId="0" borderId="56" xfId="0" applyFill="1" applyBorder="1" applyAlignment="1">
      <alignment horizontal="left" vertical="center" wrapText="1"/>
    </xf>
    <xf numFmtId="0" fontId="0" fillId="0" borderId="57" xfId="0" applyFill="1"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0" xfId="0" applyBorder="1" applyAlignment="1">
      <alignment horizontal="left" vertical="center" wrapText="1"/>
    </xf>
    <xf numFmtId="0" fontId="0" fillId="0" borderId="46" xfId="0" applyBorder="1" applyAlignment="1">
      <alignment horizontal="left" vertical="center" wrapText="1"/>
    </xf>
    <xf numFmtId="0" fontId="2" fillId="0" borderId="83"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42" xfId="0" applyFont="1" applyBorder="1" applyAlignment="1">
      <alignment horizontal="center" vertical="center" textRotation="90"/>
    </xf>
    <xf numFmtId="0" fontId="2" fillId="0" borderId="51" xfId="0" applyFont="1" applyBorder="1" applyAlignment="1">
      <alignment horizontal="center" vertical="center" textRotation="90"/>
    </xf>
    <xf numFmtId="0" fontId="2" fillId="0" borderId="43" xfId="0" applyFont="1" applyBorder="1" applyAlignment="1">
      <alignment horizontal="center" vertical="center" textRotation="90"/>
    </xf>
    <xf numFmtId="0" fontId="2" fillId="0" borderId="49"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68" xfId="0" applyFont="1" applyBorder="1" applyAlignment="1">
      <alignment horizontal="center" vertical="center" textRotation="90"/>
    </xf>
    <xf numFmtId="0" fontId="2" fillId="0" borderId="69"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74" xfId="0" applyFont="1" applyBorder="1" applyAlignment="1">
      <alignment horizontal="center" vertical="center" textRotation="90" wrapText="1"/>
    </xf>
    <xf numFmtId="0" fontId="23" fillId="0" borderId="21" xfId="0" applyFont="1" applyFill="1" applyBorder="1" applyAlignment="1">
      <alignment horizontal="left" vertical="center" wrapText="1"/>
    </xf>
    <xf numFmtId="0" fontId="23" fillId="0" borderId="22" xfId="0" applyFont="1" applyFill="1" applyBorder="1" applyAlignment="1">
      <alignment horizontal="left" vertical="center" wrapText="1"/>
    </xf>
    <xf numFmtId="0" fontId="23" fillId="0" borderId="18" xfId="0" applyFont="1" applyFill="1" applyBorder="1" applyAlignment="1">
      <alignment horizontal="left" vertical="center" wrapText="1"/>
    </xf>
    <xf numFmtId="0" fontId="23" fillId="0" borderId="19" xfId="0" applyFont="1" applyFill="1" applyBorder="1" applyAlignment="1">
      <alignment horizontal="left" vertical="center" wrapText="1"/>
    </xf>
    <xf numFmtId="0" fontId="25" fillId="11" borderId="79" xfId="0" applyFont="1" applyFill="1" applyBorder="1" applyAlignment="1">
      <alignment horizontal="left" vertical="center"/>
    </xf>
    <xf numFmtId="0" fontId="25" fillId="11" borderId="80" xfId="0" applyFont="1" applyFill="1" applyBorder="1" applyAlignment="1">
      <alignment horizontal="left" vertical="center"/>
    </xf>
    <xf numFmtId="0" fontId="25" fillId="11" borderId="81" xfId="0" applyFont="1" applyFill="1" applyBorder="1" applyAlignment="1">
      <alignment horizontal="left" vertical="center"/>
    </xf>
    <xf numFmtId="0" fontId="24" fillId="0" borderId="0" xfId="0" applyFont="1" applyAlignment="1">
      <alignment horizontal="center" vertical="center"/>
    </xf>
    <xf numFmtId="0" fontId="25" fillId="0" borderId="0" xfId="0" applyFont="1" applyAlignment="1">
      <alignment horizontal="center" vertical="center" wrapText="1"/>
    </xf>
    <xf numFmtId="0" fontId="23" fillId="0" borderId="80" xfId="0" applyFont="1" applyFill="1" applyBorder="1" applyAlignment="1">
      <alignment horizontal="left" vertical="center" wrapText="1"/>
    </xf>
    <xf numFmtId="0" fontId="23" fillId="0" borderId="81" xfId="0" applyFont="1" applyFill="1" applyBorder="1" applyAlignment="1">
      <alignment horizontal="left" vertical="center" wrapText="1"/>
    </xf>
    <xf numFmtId="0" fontId="26" fillId="0" borderId="0" xfId="0" applyFont="1" applyBorder="1" applyAlignment="1">
      <alignment horizontal="center" vertical="center" textRotation="90" wrapText="1"/>
    </xf>
    <xf numFmtId="0" fontId="23" fillId="0" borderId="0" xfId="0" applyFont="1" applyBorder="1" applyAlignment="1">
      <alignment horizontal="left" vertical="center" wrapText="1"/>
    </xf>
    <xf numFmtId="0" fontId="23" fillId="0" borderId="24" xfId="0" applyFont="1" applyBorder="1" applyAlignment="1">
      <alignment horizontal="left" vertical="center" wrapText="1"/>
    </xf>
    <xf numFmtId="0" fontId="23" fillId="0" borderId="21" xfId="0" applyFont="1" applyBorder="1" applyAlignment="1">
      <alignment horizontal="left" vertical="center" wrapText="1"/>
    </xf>
    <xf numFmtId="0" fontId="23" fillId="0" borderId="22" xfId="0" applyFont="1" applyBorder="1" applyAlignment="1">
      <alignment horizontal="left" vertical="center" wrapText="1"/>
    </xf>
    <xf numFmtId="0" fontId="26" fillId="11" borderId="79" xfId="0" applyFont="1" applyFill="1" applyBorder="1" applyAlignment="1">
      <alignment horizontal="center" vertical="center"/>
    </xf>
    <xf numFmtId="0" fontId="26" fillId="11" borderId="81" xfId="0" applyFont="1" applyFill="1" applyBorder="1" applyAlignment="1">
      <alignment horizontal="center" vertical="center"/>
    </xf>
    <xf numFmtId="164" fontId="8" fillId="0" borderId="28" xfId="1" applyNumberFormat="1" applyFont="1" applyBorder="1" applyAlignment="1">
      <alignment horizontal="center" vertical="center" wrapText="1"/>
    </xf>
    <xf numFmtId="164" fontId="8" fillId="0" borderId="31" xfId="1" applyNumberFormat="1" applyFont="1" applyBorder="1" applyAlignment="1">
      <alignment horizontal="center" vertical="center" wrapText="1"/>
    </xf>
    <xf numFmtId="164" fontId="8" fillId="0" borderId="1" xfId="1" applyNumberFormat="1" applyFont="1" applyBorder="1" applyAlignment="1">
      <alignment horizontal="center" vertical="center" wrapText="1"/>
    </xf>
    <xf numFmtId="164" fontId="8" fillId="0" borderId="2" xfId="1" applyNumberFormat="1" applyFont="1" applyBorder="1" applyAlignment="1">
      <alignment horizontal="center" vertical="center" wrapText="1"/>
    </xf>
    <xf numFmtId="164" fontId="8" fillId="0" borderId="3" xfId="1" applyNumberFormat="1" applyFont="1" applyBorder="1" applyAlignment="1">
      <alignment horizontal="center" vertical="center"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CCCC00"/>
      <color rgb="FFFFFFCC"/>
      <color rgb="FF0000FF"/>
      <color rgb="FFFFCC66"/>
      <color rgb="FFFF99FF"/>
      <color rgb="FFFFFF99"/>
      <color rgb="FFCCFFCC"/>
      <color rgb="FFF8F8F8"/>
      <color rgb="FF808000"/>
      <color rgb="FFB8CCE4"/>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9.xml"/><Relationship Id="rId4" Type="http://schemas.openxmlformats.org/officeDocument/2006/relationships/worksheet" Target="worksheets/sheet4.xml"/><Relationship Id="rId9" Type="http://schemas.openxmlformats.org/officeDocument/2006/relationships/chartsheet" Target="chartsheets/sheet1.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2020 Budget Expenses</a:t>
            </a:r>
          </a:p>
        </c:rich>
      </c:tx>
      <c:overlay val="1"/>
    </c:title>
    <c:plotArea>
      <c:layout>
        <c:manualLayout>
          <c:layoutTarget val="inner"/>
          <c:xMode val="edge"/>
          <c:yMode val="edge"/>
          <c:x val="5.8542030985622592E-2"/>
          <c:y val="0.16612377850162866"/>
          <c:w val="0.5882352941176433"/>
          <c:h val="0.79804560260586965"/>
        </c:manualLayout>
      </c:layout>
      <c:pieChart>
        <c:varyColors val="1"/>
        <c:ser>
          <c:idx val="0"/>
          <c:order val="0"/>
          <c:dLbls>
            <c:dLblPos val="ctr"/>
            <c:showVal val="1"/>
            <c:showLeaderLines val="1"/>
          </c:dLbls>
          <c:cat>
            <c:strRef>
              <c:f>'New Year-Full Year'!$AD$4:$AG$4</c:f>
              <c:strCache>
                <c:ptCount val="4"/>
                <c:pt idx="0">
                  <c:v>Love Jesus</c:v>
                </c:pt>
                <c:pt idx="1">
                  <c:v>Changing Lives</c:v>
                </c:pt>
                <c:pt idx="2">
                  <c:v>Reaching Out</c:v>
                </c:pt>
                <c:pt idx="3">
                  <c:v>Building</c:v>
                </c:pt>
              </c:strCache>
            </c:strRef>
          </c:cat>
          <c:val>
            <c:numRef>
              <c:f>'New Year-Full Year'!$AD$190:$AG$190</c:f>
              <c:numCache>
                <c:formatCode>_("$"* #,##0_);_("$"* \(#,##0\);_("$"* "-"??_);_(@_)</c:formatCode>
                <c:ptCount val="4"/>
                <c:pt idx="0">
                  <c:v>157592.79100000003</c:v>
                </c:pt>
                <c:pt idx="1">
                  <c:v>106412.19100000001</c:v>
                </c:pt>
                <c:pt idx="2">
                  <c:v>128670.01800000003</c:v>
                </c:pt>
                <c:pt idx="3">
                  <c:v>107941</c:v>
                </c:pt>
              </c:numCache>
            </c:numRef>
          </c:val>
        </c:ser>
        <c:firstSliceAng val="0"/>
      </c:pieChart>
    </c:plotArea>
    <c:legend>
      <c:legendPos val="r"/>
    </c:legend>
    <c:plotVisOnly val="1"/>
  </c:chart>
  <c:printSettings>
    <c:headerFooter/>
    <c:pageMargins b="0.75000000000000344" l="0.70000000000000062" r="0.70000000000000062" t="0.750000000000003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3200"/>
            </a:pPr>
            <a:r>
              <a:rPr lang="en-US" sz="3200"/>
              <a:t>LCR</a:t>
            </a:r>
            <a:r>
              <a:rPr lang="en-US" sz="3200" baseline="0"/>
              <a:t> </a:t>
            </a:r>
            <a:r>
              <a:rPr lang="en-US" sz="3200"/>
              <a:t>2019 Operating Budget Expenses</a:t>
            </a:r>
          </a:p>
        </c:rich>
      </c:tx>
      <c:layout/>
      <c:overlay val="1"/>
    </c:title>
    <c:plotArea>
      <c:layout>
        <c:manualLayout>
          <c:layoutTarget val="inner"/>
          <c:xMode val="edge"/>
          <c:yMode val="edge"/>
          <c:x val="5.8542030985622592E-2"/>
          <c:y val="0.16612377850162866"/>
          <c:w val="0.58823529411764286"/>
          <c:h val="0.79804560260587054"/>
        </c:manualLayout>
      </c:layout>
      <c:pieChart>
        <c:varyColors val="1"/>
        <c:ser>
          <c:idx val="0"/>
          <c:order val="0"/>
          <c:dLbls>
            <c:txPr>
              <a:bodyPr/>
              <a:lstStyle/>
              <a:p>
                <a:pPr>
                  <a:defRPr sz="2000"/>
                </a:pPr>
                <a:endParaRPr lang="en-US"/>
              </a:p>
            </c:txPr>
            <c:dLblPos val="ctr"/>
            <c:showVal val="1"/>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firstSliceAng val="0"/>
      </c:pieChart>
    </c:plotArea>
    <c:legend>
      <c:legendPos val="r"/>
      <c:layout/>
      <c:txPr>
        <a:bodyPr/>
        <a:lstStyle/>
        <a:p>
          <a:pPr>
            <a:defRPr sz="2000"/>
          </a:pPr>
          <a:endParaRPr lang="en-US"/>
        </a:p>
      </c:txPr>
    </c:legend>
    <c:plotVisOnly val="1"/>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chartsheets/sheet1.xml><?xml version="1.0" encoding="utf-8"?>
<chartsheet xmlns="http://schemas.openxmlformats.org/spreadsheetml/2006/main" xmlns:r="http://schemas.openxmlformats.org/officeDocument/2006/relationships">
  <sheetPr/>
  <sheetViews>
    <sheetView zoomScale="66" workbookViewId="0" zoomToFit="1"/>
  </sheetViews>
  <pageMargins left="0.7" right="0.7" top="0.75" bottom="0.75" header="0.3" footer="0.3"/>
  <pageSetup orientation="landscape" horizontalDpi="0" verticalDpi="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28</xdr:col>
      <xdr:colOff>539750</xdr:colOff>
      <xdr:row>192</xdr:row>
      <xdr:rowOff>6350</xdr:rowOff>
    </xdr:from>
    <xdr:to>
      <xdr:col>34</xdr:col>
      <xdr:colOff>82550</xdr:colOff>
      <xdr:row>213</xdr:row>
      <xdr:rowOff>31750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rgb="FFFFFF00"/>
  </sheetPr>
  <dimension ref="A2:C2"/>
  <sheetViews>
    <sheetView showGridLines="0" workbookViewId="0">
      <selection activeCell="A13" sqref="A13"/>
    </sheetView>
  </sheetViews>
  <sheetFormatPr defaultColWidth="9.08984375" defaultRowHeight="23.5"/>
  <cols>
    <col min="1" max="1" width="23.08984375" style="41" customWidth="1"/>
    <col min="2" max="16384" width="9.08984375" style="41"/>
  </cols>
  <sheetData>
    <row r="2" spans="1:3">
      <c r="A2" s="41" t="s">
        <v>165</v>
      </c>
      <c r="C2" s="42">
        <v>2020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pageSetUpPr fitToPage="1"/>
  </sheetPr>
  <dimension ref="A1:M120"/>
  <sheetViews>
    <sheetView showGridLines="0" tabSelected="1" topLeftCell="B35" workbookViewId="0">
      <selection activeCell="B8" sqref="A8:XFD10"/>
    </sheetView>
  </sheetViews>
  <sheetFormatPr defaultColWidth="9.08984375" defaultRowHeight="14.5"/>
  <cols>
    <col min="1" max="1" width="4.453125" style="43"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9" bestFit="1" customWidth="1"/>
    <col min="13" max="16384" width="9.08984375" style="1"/>
  </cols>
  <sheetData>
    <row r="1" spans="1:12" ht="41.25" customHeight="1">
      <c r="B1" s="636" t="s">
        <v>87</v>
      </c>
      <c r="C1" s="636"/>
      <c r="D1" s="636"/>
      <c r="E1" s="636"/>
      <c r="F1" s="636"/>
      <c r="G1" s="636"/>
      <c r="H1" s="636"/>
      <c r="I1" s="636"/>
      <c r="J1" s="636"/>
      <c r="K1" s="636"/>
      <c r="L1" s="636"/>
    </row>
    <row r="2" spans="1:12" ht="8.25" customHeight="1">
      <c r="B2" s="637"/>
      <c r="C2" s="637"/>
      <c r="D2" s="637"/>
      <c r="E2" s="637"/>
      <c r="F2" s="637"/>
      <c r="G2" s="637"/>
      <c r="H2" s="637"/>
      <c r="I2" s="637"/>
      <c r="J2" s="637"/>
      <c r="K2" s="637"/>
      <c r="L2" s="637"/>
    </row>
    <row r="3" spans="1:12" ht="18" customHeight="1">
      <c r="E3" s="641" t="s">
        <v>86</v>
      </c>
      <c r="F3" s="642"/>
      <c r="G3" s="642"/>
      <c r="H3" s="643"/>
      <c r="J3" s="638" t="str">
        <f>+'New Year-Full Year'!U2</f>
        <v>2019 Year to Date (YTD)</v>
      </c>
      <c r="K3" s="639"/>
      <c r="L3" s="640"/>
    </row>
    <row r="4" spans="1:12" ht="22.5" customHeight="1">
      <c r="E4" s="649" t="str">
        <f>+'New Year-Full Year'!P3</f>
        <v>2020 Budget</v>
      </c>
      <c r="F4" s="647" t="str">
        <f>+'New Year-Full Year'!Q3</f>
        <v>2019 Budget</v>
      </c>
      <c r="G4" s="645" t="str">
        <f>Bud_Yr&amp;" Budget vs "&amp;Bud_Yr-1&amp;" Budget"</f>
        <v>2020 Budget vs 2019 Budget</v>
      </c>
      <c r="H4" s="646"/>
      <c r="J4" s="649" t="str">
        <f>+'New Year-Full Year'!U3</f>
        <v>Dec YTD Actual</v>
      </c>
      <c r="K4" s="647" t="str">
        <f>+'New Year-Full Year'!V3</f>
        <v>Dec YTD Budget</v>
      </c>
      <c r="L4" s="651" t="s">
        <v>85</v>
      </c>
    </row>
    <row r="5" spans="1:12" s="2" customFormat="1">
      <c r="A5" s="44"/>
      <c r="E5" s="650"/>
      <c r="F5" s="648"/>
      <c r="G5" s="617" t="s">
        <v>113</v>
      </c>
      <c r="H5" s="52" t="s">
        <v>114</v>
      </c>
      <c r="J5" s="650"/>
      <c r="K5" s="648"/>
      <c r="L5" s="652"/>
    </row>
    <row r="6" spans="1:12" s="2" customFormat="1" ht="18.5">
      <c r="A6" s="44"/>
      <c r="B6" s="7" t="s">
        <v>0</v>
      </c>
      <c r="E6" s="8"/>
      <c r="F6" s="40"/>
      <c r="G6" s="40"/>
      <c r="H6" s="40"/>
      <c r="J6" s="40"/>
      <c r="K6" s="40"/>
      <c r="L6" s="40"/>
    </row>
    <row r="7" spans="1:12">
      <c r="A7" s="43">
        <v>1</v>
      </c>
      <c r="B7" s="2" t="str">
        <f>+'New Year-Full Year'!B6</f>
        <v>Envelope Giving</v>
      </c>
    </row>
    <row r="8" spans="1:12">
      <c r="A8" s="43">
        <v>2</v>
      </c>
      <c r="C8" s="1" t="str">
        <f>+'New Year-Full Year'!C7</f>
        <v>Envelope Giving</v>
      </c>
      <c r="E8" s="38">
        <f>+'New Year-Full Year'!P7</f>
        <v>477000</v>
      </c>
      <c r="F8" s="38">
        <f>+'New Year-Full Year'!Q7</f>
        <v>490000</v>
      </c>
      <c r="G8" s="38">
        <f>+E8-F8</f>
        <v>-13000</v>
      </c>
      <c r="H8" s="4">
        <f t="shared" ref="H8:H14" si="0">IF(F8=0,"NA",(+E8-F8)/F8)</f>
        <v>-2.6530612244897958E-2</v>
      </c>
      <c r="J8" s="38">
        <f>+'New Year-Full Year'!U7</f>
        <v>496982.31</v>
      </c>
      <c r="K8" s="38">
        <f>+'New Year-Full Year'!V7</f>
        <v>490000</v>
      </c>
      <c r="L8" s="4">
        <f t="shared" ref="L8:L14" si="1">IF(K8=0,"NA",(+J8-K8)/K8)</f>
        <v>1.4249612244897954E-2</v>
      </c>
    </row>
    <row r="9" spans="1:12">
      <c r="C9" s="1" t="str">
        <f>+'New Year-Full Year'!C8</f>
        <v>Advent Offerings</v>
      </c>
      <c r="E9" s="38">
        <f>+'New Year-Full Year'!P8</f>
        <v>0</v>
      </c>
      <c r="F9" s="38">
        <f>+'New Year-Full Year'!Q8</f>
        <v>0</v>
      </c>
      <c r="G9" s="38">
        <f t="shared" ref="G9:G13" si="2">+E9-F9</f>
        <v>0</v>
      </c>
      <c r="H9" s="4" t="str">
        <f>IF(F9=0,"NA",(+E9-F9)/F9)</f>
        <v>NA</v>
      </c>
      <c r="J9" s="38">
        <f>+'New Year-Full Year'!U8</f>
        <v>128</v>
      </c>
      <c r="K9" s="38">
        <f>+'New Year-Full Year'!V8</f>
        <v>0</v>
      </c>
      <c r="L9" s="4" t="str">
        <f>IF(K9=0,"NA",(+J9-K9)/K9)</f>
        <v>NA</v>
      </c>
    </row>
    <row r="10" spans="1:12">
      <c r="A10" s="43">
        <v>4</v>
      </c>
      <c r="C10" s="1" t="str">
        <f>+'New Year-Full Year'!C9</f>
        <v>Easter Offerings</v>
      </c>
      <c r="E10" s="38">
        <f>+'New Year-Full Year'!P9</f>
        <v>3500</v>
      </c>
      <c r="F10" s="38">
        <f>+'New Year-Full Year'!Q9</f>
        <v>3500</v>
      </c>
      <c r="G10" s="38">
        <f t="shared" si="2"/>
        <v>0</v>
      </c>
      <c r="H10" s="4">
        <f t="shared" si="0"/>
        <v>0</v>
      </c>
      <c r="J10" s="38">
        <f>+'New Year-Full Year'!U9</f>
        <v>3659</v>
      </c>
      <c r="K10" s="38">
        <f>+'New Year-Full Year'!V9</f>
        <v>3500</v>
      </c>
      <c r="L10" s="4">
        <f t="shared" si="1"/>
        <v>4.5428571428571429E-2</v>
      </c>
    </row>
    <row r="11" spans="1:12">
      <c r="A11" s="43">
        <v>5</v>
      </c>
      <c r="C11" s="1" t="str">
        <f>+'New Year-Full Year'!C10</f>
        <v>Thanksgiving Offerings</v>
      </c>
      <c r="E11" s="38">
        <f>+'New Year-Full Year'!P10</f>
        <v>1000</v>
      </c>
      <c r="F11" s="38">
        <f>+'New Year-Full Year'!Q10</f>
        <v>1000</v>
      </c>
      <c r="G11" s="38">
        <f t="shared" si="2"/>
        <v>0</v>
      </c>
      <c r="H11" s="4">
        <f t="shared" si="0"/>
        <v>0</v>
      </c>
      <c r="J11" s="38">
        <f>+'New Year-Full Year'!U10</f>
        <v>1248</v>
      </c>
      <c r="K11" s="38">
        <f>+'New Year-Full Year'!V10</f>
        <v>1000</v>
      </c>
      <c r="L11" s="4">
        <f t="shared" si="1"/>
        <v>0.248</v>
      </c>
    </row>
    <row r="12" spans="1:12">
      <c r="A12" s="43">
        <v>6</v>
      </c>
      <c r="C12" s="1" t="str">
        <f>+'New Year-Full Year'!C11</f>
        <v>Christmas Offerings</v>
      </c>
      <c r="E12" s="38">
        <f>+'New Year-Full Year'!P11</f>
        <v>5000</v>
      </c>
      <c r="F12" s="38">
        <f>+'New Year-Full Year'!Q11</f>
        <v>5000</v>
      </c>
      <c r="G12" s="38">
        <f t="shared" si="2"/>
        <v>0</v>
      </c>
      <c r="H12" s="4">
        <f t="shared" si="0"/>
        <v>0</v>
      </c>
      <c r="J12" s="38">
        <f>+'New Year-Full Year'!U11</f>
        <v>4642</v>
      </c>
      <c r="K12" s="38">
        <f>+'New Year-Full Year'!V11</f>
        <v>5000</v>
      </c>
      <c r="L12" s="4">
        <f t="shared" si="1"/>
        <v>-7.1599999999999997E-2</v>
      </c>
    </row>
    <row r="13" spans="1:12">
      <c r="A13" s="43">
        <v>7</v>
      </c>
      <c r="C13" s="1" t="str">
        <f>+'New Year-Full Year'!C12</f>
        <v>Lenten Offerings</v>
      </c>
      <c r="E13" s="38">
        <f>+'New Year-Full Year'!P12</f>
        <v>3000</v>
      </c>
      <c r="F13" s="38">
        <f>+'New Year-Full Year'!Q12</f>
        <v>2800</v>
      </c>
      <c r="G13" s="38">
        <f t="shared" si="2"/>
        <v>200</v>
      </c>
      <c r="H13" s="4">
        <f t="shared" si="0"/>
        <v>7.1428571428571425E-2</v>
      </c>
      <c r="J13" s="38">
        <f>+'New Year-Full Year'!U12</f>
        <v>3148</v>
      </c>
      <c r="K13" s="38">
        <f>+'New Year-Full Year'!V12</f>
        <v>2800</v>
      </c>
      <c r="L13" s="4">
        <f t="shared" si="1"/>
        <v>0.12428571428571429</v>
      </c>
    </row>
    <row r="14" spans="1:12">
      <c r="A14" s="43">
        <v>8</v>
      </c>
      <c r="B14" s="10" t="str">
        <f>+'New Year-Full Year'!B13</f>
        <v>Total Envelope Giving</v>
      </c>
      <c r="C14" s="10"/>
      <c r="D14" s="10"/>
      <c r="E14" s="10">
        <f>SUM(E8:E13)</f>
        <v>489500</v>
      </c>
      <c r="F14" s="10">
        <f>SUM(F8:F13)</f>
        <v>502300</v>
      </c>
      <c r="G14" s="10">
        <f>SUM(G8:G13)</f>
        <v>-12800</v>
      </c>
      <c r="H14" s="11">
        <f t="shared" si="0"/>
        <v>-2.5482779215608202E-2</v>
      </c>
      <c r="J14" s="10">
        <f>SUM(J8:J13)</f>
        <v>509807.31</v>
      </c>
      <c r="K14" s="10">
        <f>SUM(K8:K13)</f>
        <v>502300</v>
      </c>
      <c r="L14" s="11">
        <f t="shared" si="1"/>
        <v>1.494586900258809E-2</v>
      </c>
    </row>
    <row r="15" spans="1:12" ht="5.25" customHeight="1">
      <c r="A15" s="43">
        <v>9</v>
      </c>
      <c r="H15" s="39"/>
    </row>
    <row r="16" spans="1:12">
      <c r="A16" s="43">
        <v>10</v>
      </c>
      <c r="B16" s="2" t="s">
        <v>7</v>
      </c>
      <c r="H16" s="39"/>
    </row>
    <row r="17" spans="1:12">
      <c r="A17" s="43">
        <v>11</v>
      </c>
      <c r="C17" s="1" t="str">
        <f>+'New Year-Full Year'!C16</f>
        <v>Loose Offerings &amp; Misc.</v>
      </c>
      <c r="E17" s="38">
        <f>+'New Year-Full Year'!P16</f>
        <v>11000</v>
      </c>
      <c r="F17" s="38">
        <f>+'New Year-Full Year'!Q16</f>
        <v>11000</v>
      </c>
      <c r="G17" s="38">
        <f t="shared" ref="G17:G20" si="3">+E17-F17</f>
        <v>0</v>
      </c>
      <c r="H17" s="4">
        <f t="shared" ref="H17:H23" si="4">IF(F17=0,"NA",(+E17-F17)/F17)</f>
        <v>0</v>
      </c>
      <c r="J17" s="38">
        <f>+'New Year-Full Year'!U16</f>
        <v>16280.83</v>
      </c>
      <c r="K17" s="38">
        <f>+'New Year-Full Year'!V16</f>
        <v>11000</v>
      </c>
      <c r="L17" s="4">
        <f t="shared" ref="L17:L23" si="5">IF(K17=0,"NA",(+J17-K17)/K17)</f>
        <v>0.48007545454545453</v>
      </c>
    </row>
    <row r="18" spans="1:12" hidden="1">
      <c r="A18" s="43">
        <v>12</v>
      </c>
      <c r="C18" s="1" t="str">
        <f>+'New Year-Full Year'!C17</f>
        <v>Misc Income</v>
      </c>
      <c r="E18" s="38">
        <f>+'New Year-Full Year'!P17</f>
        <v>0</v>
      </c>
      <c r="F18" s="38">
        <f>+'New Year-Full Year'!Q17</f>
        <v>0</v>
      </c>
      <c r="G18" s="38">
        <f t="shared" si="3"/>
        <v>0</v>
      </c>
      <c r="H18" s="4" t="str">
        <f t="shared" si="4"/>
        <v>NA</v>
      </c>
      <c r="J18" s="38">
        <f>+'New Year-Full Year'!U17</f>
        <v>0</v>
      </c>
      <c r="K18" s="38">
        <f>+'New Year-Full Year'!V17</f>
        <v>0</v>
      </c>
      <c r="L18" s="4" t="str">
        <f t="shared" si="5"/>
        <v>NA</v>
      </c>
    </row>
    <row r="19" spans="1:12" hidden="1">
      <c r="A19" s="43">
        <v>13</v>
      </c>
      <c r="C19" s="1" t="str">
        <f>+'New Year-Full Year'!C18</f>
        <v>Special Appeal</v>
      </c>
      <c r="E19" s="38">
        <f>+'New Year-Full Year'!P18</f>
        <v>0</v>
      </c>
      <c r="F19" s="38">
        <f>+'New Year-Full Year'!Q18</f>
        <v>0</v>
      </c>
      <c r="G19" s="38">
        <f t="shared" si="3"/>
        <v>0</v>
      </c>
      <c r="H19" s="4" t="str">
        <f t="shared" si="4"/>
        <v>NA</v>
      </c>
      <c r="J19" s="38">
        <f>+'New Year-Full Year'!U18</f>
        <v>0</v>
      </c>
      <c r="K19" s="38">
        <f>+'New Year-Full Year'!V18</f>
        <v>0</v>
      </c>
      <c r="L19" s="4" t="str">
        <f t="shared" si="5"/>
        <v>NA</v>
      </c>
    </row>
    <row r="20" spans="1:12">
      <c r="A20" s="43">
        <v>14</v>
      </c>
      <c r="C20" s="1" t="str">
        <f>+'New Year-Full Year'!C19</f>
        <v>Current Investment Income</v>
      </c>
      <c r="E20" s="38">
        <f>+'New Year-Full Year'!P19</f>
        <v>0</v>
      </c>
      <c r="F20" s="38">
        <f>+'New Year-Full Year'!Q19</f>
        <v>0</v>
      </c>
      <c r="G20" s="38">
        <f t="shared" si="3"/>
        <v>0</v>
      </c>
      <c r="H20" s="4" t="str">
        <f t="shared" si="4"/>
        <v>NA</v>
      </c>
      <c r="J20" s="38">
        <f>+'New Year-Full Year'!U19</f>
        <v>3.78</v>
      </c>
      <c r="K20" s="38">
        <f>+'New Year-Full Year'!V19</f>
        <v>0</v>
      </c>
      <c r="L20" s="4" t="str">
        <f t="shared" si="5"/>
        <v>NA</v>
      </c>
    </row>
    <row r="21" spans="1:12" hidden="1">
      <c r="A21" s="43">
        <v>15</v>
      </c>
      <c r="C21" s="1" t="str">
        <f>+'New Year-Full Year'!C20</f>
        <v>Clearing Account</v>
      </c>
      <c r="E21" s="38">
        <f>+'New Year-Full Year'!P20</f>
        <v>0</v>
      </c>
      <c r="F21" s="38">
        <f>+'New Year-Full Year'!Q20</f>
        <v>0</v>
      </c>
      <c r="G21" s="38"/>
      <c r="H21" s="4" t="str">
        <f t="shared" si="4"/>
        <v>NA</v>
      </c>
      <c r="J21" s="38">
        <f>+'New Year-Full Year'!U20</f>
        <v>0</v>
      </c>
      <c r="K21" s="38">
        <f>+'New Year-Full Year'!V20</f>
        <v>0</v>
      </c>
      <c r="L21" s="4" t="str">
        <f t="shared" si="5"/>
        <v>NA</v>
      </c>
    </row>
    <row r="22" spans="1:12">
      <c r="A22" s="43">
        <v>16</v>
      </c>
      <c r="B22" s="10" t="str">
        <f>+'New Year-Full Year'!B21</f>
        <v>Total Misc Income</v>
      </c>
      <c r="C22" s="10"/>
      <c r="D22" s="10"/>
      <c r="E22" s="10">
        <f>SUM(E17:E21)</f>
        <v>11000</v>
      </c>
      <c r="F22" s="10">
        <f>SUM(F17:F21)</f>
        <v>11000</v>
      </c>
      <c r="G22" s="10">
        <f>SUM(G17:G21)</f>
        <v>0</v>
      </c>
      <c r="H22" s="11">
        <f t="shared" si="4"/>
        <v>0</v>
      </c>
      <c r="J22" s="10">
        <f>SUM(J17:J21)</f>
        <v>16284.61</v>
      </c>
      <c r="K22" s="10">
        <f>SUM(K17:K21)</f>
        <v>11000</v>
      </c>
      <c r="L22" s="11">
        <f t="shared" si="5"/>
        <v>0.48041909090909096</v>
      </c>
    </row>
    <row r="23" spans="1:12">
      <c r="A23" s="43">
        <v>17</v>
      </c>
      <c r="B23" s="10" t="str">
        <f>+'New Year-Full Year'!B22</f>
        <v>TOTAL INCOME</v>
      </c>
      <c r="C23" s="10"/>
      <c r="D23" s="10"/>
      <c r="E23" s="10">
        <f>+E14+E22</f>
        <v>500500</v>
      </c>
      <c r="F23" s="10">
        <f>+F14+F22</f>
        <v>513300</v>
      </c>
      <c r="G23" s="10">
        <f>+G14+G22</f>
        <v>-12800</v>
      </c>
      <c r="H23" s="11">
        <f t="shared" si="4"/>
        <v>-2.4936684200272743E-2</v>
      </c>
      <c r="J23" s="10">
        <f>+J14+J22</f>
        <v>526091.92000000004</v>
      </c>
      <c r="K23" s="10">
        <f>+K14+K22</f>
        <v>513300</v>
      </c>
      <c r="L23" s="11">
        <f t="shared" si="5"/>
        <v>2.4920942918371405E-2</v>
      </c>
    </row>
    <row r="24" spans="1:12" ht="6" customHeight="1">
      <c r="A24" s="43">
        <v>18</v>
      </c>
      <c r="H24" s="39"/>
    </row>
    <row r="25" spans="1:12" ht="18.5">
      <c r="A25" s="43">
        <v>19</v>
      </c>
      <c r="B25" s="7" t="s">
        <v>12</v>
      </c>
      <c r="H25" s="39"/>
    </row>
    <row r="26" spans="1:12" s="2" customFormat="1">
      <c r="A26" s="43">
        <v>26</v>
      </c>
      <c r="B26" s="12"/>
      <c r="C26" s="12" t="str">
        <f>+'New Year-Full Year'!C30</f>
        <v>8% Benevolence</v>
      </c>
      <c r="D26" s="12"/>
      <c r="E26" s="12">
        <f>+'New Year-Full Year'!P30</f>
        <v>40040</v>
      </c>
      <c r="F26" s="12">
        <f>+'New Year-Full Year'!Q30</f>
        <v>51330</v>
      </c>
      <c r="G26" s="12">
        <f t="shared" ref="G26" si="6">+E26-F26</f>
        <v>-11290</v>
      </c>
      <c r="H26" s="14">
        <f>IF(F26=0,"NA",(+E26-F26)/F26)</f>
        <v>-0.21994934736021821</v>
      </c>
      <c r="I26" s="1"/>
      <c r="J26" s="12">
        <f>+'New Year-Full Year'!U30</f>
        <v>51330</v>
      </c>
      <c r="K26" s="12">
        <f>+'New Year-Full Year'!V30</f>
        <v>51330</v>
      </c>
      <c r="L26" s="14">
        <f>IF(K26=0,"NA",(+J26-K26)/K26)</f>
        <v>0</v>
      </c>
    </row>
    <row r="27" spans="1:12" s="2" customFormat="1" ht="6.75" customHeight="1">
      <c r="A27" s="43">
        <v>27</v>
      </c>
      <c r="B27" s="15"/>
      <c r="C27" s="16"/>
      <c r="D27" s="15"/>
      <c r="E27" s="15"/>
      <c r="F27" s="17"/>
      <c r="G27" s="17"/>
      <c r="H27" s="18"/>
      <c r="I27" s="1"/>
      <c r="J27" s="17"/>
      <c r="K27" s="17"/>
      <c r="L27" s="18"/>
    </row>
    <row r="28" spans="1:12" s="2" customFormat="1" ht="18.5">
      <c r="A28" s="43">
        <v>28</v>
      </c>
      <c r="B28" s="19" t="s">
        <v>62</v>
      </c>
      <c r="C28" s="16"/>
      <c r="D28" s="15"/>
      <c r="E28" s="15"/>
      <c r="F28" s="17"/>
      <c r="G28" s="17"/>
      <c r="H28" s="18"/>
      <c r="I28" s="15"/>
      <c r="J28" s="17"/>
      <c r="K28" s="17"/>
      <c r="L28" s="18"/>
    </row>
    <row r="29" spans="1:12">
      <c r="A29" s="43">
        <v>29</v>
      </c>
      <c r="B29" s="644" t="str">
        <f>+'New Year-Full Year'!B33</f>
        <v>Parish Ed</v>
      </c>
      <c r="C29" s="644"/>
      <c r="D29" s="644"/>
      <c r="H29" s="39"/>
    </row>
    <row r="30" spans="1:12">
      <c r="A30" s="43">
        <v>30</v>
      </c>
      <c r="C30" s="1" t="str">
        <f>+'New Year-Full Year'!C34</f>
        <v>Sunday School</v>
      </c>
      <c r="E30" s="38">
        <f>+'New Year-Full Year'!P34</f>
        <v>2300</v>
      </c>
      <c r="F30" s="38">
        <f>+'New Year-Full Year'!Q34</f>
        <v>2000</v>
      </c>
      <c r="G30" s="38">
        <f t="shared" ref="G30:G36" si="7">+E30-F30</f>
        <v>300</v>
      </c>
      <c r="H30" s="4">
        <f t="shared" ref="H30:H37" si="8">IF(F30=0,"NA",(+E30-F30)/F30)</f>
        <v>0.15</v>
      </c>
      <c r="J30" s="38">
        <f>+'New Year-Full Year'!U34</f>
        <v>1429.11</v>
      </c>
      <c r="K30" s="38">
        <f>+'New Year-Full Year'!V34</f>
        <v>2000</v>
      </c>
      <c r="L30" s="4">
        <f t="shared" ref="L30:L37" si="9">IF(K30=0,"NA",(+J30-K30)/K30)</f>
        <v>-0.28544500000000006</v>
      </c>
    </row>
    <row r="31" spans="1:12">
      <c r="A31" s="43">
        <v>31</v>
      </c>
      <c r="C31" s="1" t="str">
        <f>+'New Year-Full Year'!C36</f>
        <v>Confirmation</v>
      </c>
      <c r="E31" s="38">
        <f>+'New Year-Full Year'!P36</f>
        <v>1000</v>
      </c>
      <c r="F31" s="38">
        <f>+'New Year-Full Year'!Q36</f>
        <v>1000</v>
      </c>
      <c r="G31" s="38">
        <f t="shared" si="7"/>
        <v>0</v>
      </c>
      <c r="H31" s="4">
        <f t="shared" si="8"/>
        <v>0</v>
      </c>
      <c r="J31" s="38">
        <f>+'New Year-Full Year'!U36</f>
        <v>575.16999999999996</v>
      </c>
      <c r="K31" s="38">
        <f>+'New Year-Full Year'!V36</f>
        <v>1000</v>
      </c>
      <c r="L31" s="4">
        <f t="shared" si="9"/>
        <v>-0.42483000000000004</v>
      </c>
    </row>
    <row r="32" spans="1:12">
      <c r="A32" s="43">
        <v>32</v>
      </c>
      <c r="C32" s="1" t="str">
        <f>+'New Year-Full Year'!C39</f>
        <v>Neighborhood Camp</v>
      </c>
      <c r="E32" s="38">
        <f>+'New Year-Full Year'!P39</f>
        <v>250</v>
      </c>
      <c r="F32" s="38">
        <f>+'New Year-Full Year'!Q39</f>
        <v>1000</v>
      </c>
      <c r="G32" s="38">
        <f t="shared" si="7"/>
        <v>-750</v>
      </c>
      <c r="H32" s="4">
        <f t="shared" si="8"/>
        <v>-0.75</v>
      </c>
      <c r="J32" s="38">
        <f>+'New Year-Full Year'!U39</f>
        <v>0</v>
      </c>
      <c r="K32" s="38">
        <f>+'New Year-Full Year'!V39</f>
        <v>1000</v>
      </c>
      <c r="L32" s="4">
        <f t="shared" si="9"/>
        <v>-1</v>
      </c>
    </row>
    <row r="33" spans="1:12">
      <c r="A33" s="43">
        <v>33</v>
      </c>
      <c r="C33" s="1" t="str">
        <f>+'New Year-Full Year'!C41</f>
        <v>Library</v>
      </c>
      <c r="E33" s="38">
        <f>+'New Year-Full Year'!P41</f>
        <v>300</v>
      </c>
      <c r="F33" s="38">
        <f>+'New Year-Full Year'!Q41</f>
        <v>300</v>
      </c>
      <c r="G33" s="38">
        <f t="shared" si="7"/>
        <v>0</v>
      </c>
      <c r="H33" s="4">
        <f t="shared" si="8"/>
        <v>0</v>
      </c>
      <c r="J33" s="38">
        <f>+'New Year-Full Year'!U41</f>
        <v>305.17</v>
      </c>
      <c r="K33" s="38">
        <f>+'New Year-Full Year'!V41</f>
        <v>300</v>
      </c>
      <c r="L33" s="4">
        <f t="shared" si="9"/>
        <v>1.7233333333333385E-2</v>
      </c>
    </row>
    <row r="34" spans="1:12">
      <c r="A34" s="43">
        <v>34</v>
      </c>
      <c r="C34" s="1" t="str">
        <f>+'New Year-Full Year'!C42</f>
        <v>Communion Education</v>
      </c>
      <c r="E34" s="38">
        <f>+'New Year-Full Year'!P42</f>
        <v>200</v>
      </c>
      <c r="F34" s="38">
        <f>+'New Year-Full Year'!Q42</f>
        <v>200</v>
      </c>
      <c r="G34" s="38">
        <f t="shared" si="7"/>
        <v>0</v>
      </c>
      <c r="H34" s="4">
        <f t="shared" si="8"/>
        <v>0</v>
      </c>
      <c r="J34" s="38">
        <f>+'New Year-Full Year'!U42</f>
        <v>205.52</v>
      </c>
      <c r="K34" s="38">
        <f>+'New Year-Full Year'!V42</f>
        <v>200</v>
      </c>
      <c r="L34" s="4">
        <f t="shared" si="9"/>
        <v>2.7600000000000052E-2</v>
      </c>
    </row>
    <row r="35" spans="1:12">
      <c r="C35" s="1" t="str">
        <f>+'New Year-Full Year'!C43</f>
        <v>Adult Education</v>
      </c>
      <c r="E35" s="38">
        <f>+'New Year-Full Year'!P43</f>
        <v>550</v>
      </c>
      <c r="F35" s="38">
        <f>+'New Year-Full Year'!Q43</f>
        <v>750</v>
      </c>
      <c r="G35" s="38">
        <f t="shared" si="7"/>
        <v>-200</v>
      </c>
      <c r="H35" s="4">
        <f t="shared" si="8"/>
        <v>-0.26666666666666666</v>
      </c>
      <c r="J35" s="38">
        <f>+'New Year-Full Year'!U43</f>
        <v>303.08</v>
      </c>
      <c r="K35" s="38">
        <f>+'New Year-Full Year'!V43</f>
        <v>200</v>
      </c>
      <c r="L35" s="4">
        <f>IF(K35=0,"NA",(+J35-K35)/K35)</f>
        <v>0.51539999999999997</v>
      </c>
    </row>
    <row r="36" spans="1:12">
      <c r="A36" s="43">
        <v>35</v>
      </c>
      <c r="C36" s="1" t="str">
        <f>+'New Year-Full Year'!C44</f>
        <v>Cradle Roll</v>
      </c>
      <c r="E36" s="38">
        <f>+'New Year-Full Year'!P44</f>
        <v>250</v>
      </c>
      <c r="F36" s="38">
        <f>+'New Year-Full Year'!Q44</f>
        <v>200</v>
      </c>
      <c r="G36" s="38">
        <f t="shared" si="7"/>
        <v>50</v>
      </c>
      <c r="H36" s="4">
        <f t="shared" si="8"/>
        <v>0.25</v>
      </c>
      <c r="J36" s="38">
        <f>+'New Year-Full Year'!U44</f>
        <v>69.900000000000006</v>
      </c>
      <c r="K36" s="38">
        <f>+'New Year-Full Year'!V44</f>
        <v>750</v>
      </c>
      <c r="L36" s="4">
        <f t="shared" si="9"/>
        <v>-0.90680000000000005</v>
      </c>
    </row>
    <row r="37" spans="1:12" s="2" customFormat="1">
      <c r="A37" s="43">
        <v>36</v>
      </c>
      <c r="B37" s="37" t="str">
        <f>+'New Year-Full Year'!B45</f>
        <v>Total Parish Ed</v>
      </c>
      <c r="C37" s="37"/>
      <c r="D37" s="37"/>
      <c r="E37" s="37">
        <f>SUM(E30:E36)</f>
        <v>4850</v>
      </c>
      <c r="F37" s="37">
        <f>SUM(F30:F36)</f>
        <v>5450</v>
      </c>
      <c r="G37" s="37">
        <f>SUM(G30:G36)</f>
        <v>-600</v>
      </c>
      <c r="H37" s="21">
        <f t="shared" si="8"/>
        <v>-0.11009174311926606</v>
      </c>
      <c r="J37" s="37">
        <f>SUM(J30:J36)</f>
        <v>2887.95</v>
      </c>
      <c r="K37" s="37">
        <f>SUM(K30:K36)</f>
        <v>5450</v>
      </c>
      <c r="L37" s="21">
        <f t="shared" si="9"/>
        <v>-0.4701009174311927</v>
      </c>
    </row>
    <row r="38" spans="1:12" ht="6" customHeight="1">
      <c r="A38" s="43">
        <v>37</v>
      </c>
      <c r="H38" s="39"/>
    </row>
    <row r="39" spans="1:12">
      <c r="A39" s="43">
        <v>40</v>
      </c>
      <c r="B39" s="2" t="str">
        <f>+'New Year-Full Year'!B47</f>
        <v>Worship</v>
      </c>
      <c r="H39" s="39"/>
    </row>
    <row r="40" spans="1:12">
      <c r="A40" s="43">
        <v>41</v>
      </c>
      <c r="C40" s="1" t="str">
        <f>+'New Year-Full Year'!C48</f>
        <v>Worship Supplies</v>
      </c>
      <c r="E40" s="38">
        <f>+'New Year-Full Year'!P48</f>
        <v>3500</v>
      </c>
      <c r="F40" s="38">
        <f>+'New Year-Full Year'!Q48</f>
        <v>4000</v>
      </c>
      <c r="G40" s="38">
        <f t="shared" ref="G40:G42" si="10">+E40-F40</f>
        <v>-500</v>
      </c>
      <c r="H40" s="4">
        <f>IF(F40=0,"NA",(+E40-F40)/F40)</f>
        <v>-0.125</v>
      </c>
      <c r="J40" s="38">
        <f>+'New Year-Full Year'!U48</f>
        <v>3303.62</v>
      </c>
      <c r="K40" s="38">
        <f>+'New Year-Full Year'!V48</f>
        <v>4000</v>
      </c>
      <c r="L40" s="4">
        <f>IF(K40=0,"NA",(+J40-K40)/K40)</f>
        <v>-0.17409500000000003</v>
      </c>
    </row>
    <row r="41" spans="1:12">
      <c r="A41" s="43">
        <v>43</v>
      </c>
      <c r="C41" s="1" t="str">
        <f>+'New Year-Full Year'!C50</f>
        <v>Children's Services</v>
      </c>
      <c r="E41" s="38">
        <f>+'New Year-Full Year'!P50</f>
        <v>100</v>
      </c>
      <c r="F41" s="38">
        <f>+'New Year-Full Year'!Q50</f>
        <v>100</v>
      </c>
      <c r="G41" s="38">
        <f t="shared" si="10"/>
        <v>0</v>
      </c>
      <c r="H41" s="4">
        <f>IF(F41=0,"NA",(+E41-F41)/F41)</f>
        <v>0</v>
      </c>
      <c r="J41" s="38">
        <f>+'New Year-Full Year'!U50</f>
        <v>0</v>
      </c>
      <c r="K41" s="38">
        <f>+'New Year-Full Year'!V50</f>
        <v>100</v>
      </c>
      <c r="L41" s="4">
        <f>IF(K41=0,"NA",(+J41-K41)/K41)</f>
        <v>-1</v>
      </c>
    </row>
    <row r="42" spans="1:12">
      <c r="A42" s="43">
        <v>44</v>
      </c>
      <c r="C42" s="1" t="str">
        <f>+'New Year-Full Year'!C51</f>
        <v>Flowers</v>
      </c>
      <c r="E42" s="38">
        <f>+'New Year-Full Year'!P51</f>
        <v>200</v>
      </c>
      <c r="F42" s="38">
        <f>+'New Year-Full Year'!Q51</f>
        <v>200</v>
      </c>
      <c r="G42" s="38">
        <f t="shared" si="10"/>
        <v>0</v>
      </c>
      <c r="H42" s="4">
        <f>IF(F42=0,"NA",(+E42-F42)/F42)</f>
        <v>0</v>
      </c>
      <c r="J42" s="38">
        <f>+'New Year-Full Year'!U51</f>
        <v>154.44999999999999</v>
      </c>
      <c r="K42" s="38">
        <f>+'New Year-Full Year'!V51</f>
        <v>200</v>
      </c>
      <c r="L42" s="4">
        <f>IF(K42=0,"NA",(+J42-K42)/K42)</f>
        <v>-0.22775000000000006</v>
      </c>
    </row>
    <row r="43" spans="1:12" s="2" customFormat="1">
      <c r="A43" s="43">
        <v>45</v>
      </c>
      <c r="B43" s="37" t="str">
        <f>+'New Year-Full Year'!B52</f>
        <v>Total Worship</v>
      </c>
      <c r="C43" s="37"/>
      <c r="D43" s="37"/>
      <c r="E43" s="37">
        <f>SUM(E40:E42)</f>
        <v>3800</v>
      </c>
      <c r="F43" s="37">
        <f>SUM(F40:F42)</f>
        <v>4300</v>
      </c>
      <c r="G43" s="37">
        <f>SUM(G40:G42)</f>
        <v>-500</v>
      </c>
      <c r="H43" s="21">
        <f>IF(F43=0,"NA",(+E43-F43)/F43)</f>
        <v>-0.11627906976744186</v>
      </c>
      <c r="J43" s="37">
        <f>SUM(J40:J42)</f>
        <v>3458.0699999999997</v>
      </c>
      <c r="K43" s="37">
        <f>SUM(K40:K42)</f>
        <v>4300</v>
      </c>
      <c r="L43" s="21">
        <f>IF(K43=0,"NA",(+J43-K43)/K43)</f>
        <v>-0.19579767441860471</v>
      </c>
    </row>
    <row r="44" spans="1:12" ht="6.75" customHeight="1">
      <c r="A44" s="43">
        <v>46</v>
      </c>
      <c r="H44" s="39"/>
    </row>
    <row r="45" spans="1:12" s="2" customFormat="1">
      <c r="A45" s="43">
        <v>51</v>
      </c>
      <c r="B45" s="37" t="str">
        <f>+'New Year-Full Year'!B54</f>
        <v>Youth</v>
      </c>
      <c r="C45" s="37"/>
      <c r="D45" s="37"/>
      <c r="E45" s="37">
        <f>+'New Year-Full Year'!P54</f>
        <v>12800</v>
      </c>
      <c r="F45" s="37">
        <f>+'New Year-Full Year'!Q54</f>
        <v>12800</v>
      </c>
      <c r="G45" s="37">
        <f t="shared" ref="G45" si="11">+E45-F45</f>
        <v>0</v>
      </c>
      <c r="H45" s="21">
        <f>IF(F45=0,"NA",(+E45-F45)/F45)</f>
        <v>0</v>
      </c>
      <c r="J45" s="37">
        <f>+'New Year-Full Year'!U54</f>
        <v>7869.79</v>
      </c>
      <c r="K45" s="37">
        <f>+'New Year-Full Year'!V54</f>
        <v>12800</v>
      </c>
      <c r="L45" s="21">
        <f>IF(K45=0,"NA",(+J45-K45)/K45)</f>
        <v>-0.38517265625000002</v>
      </c>
    </row>
    <row r="46" spans="1:12" ht="6.75" customHeight="1">
      <c r="A46" s="43">
        <v>52</v>
      </c>
      <c r="H46" s="39"/>
    </row>
    <row r="47" spans="1:12">
      <c r="A47" s="43">
        <v>53</v>
      </c>
      <c r="B47" s="2" t="str">
        <f>+'New Year-Full Year'!B57</f>
        <v>Church Membership</v>
      </c>
      <c r="H47" s="39"/>
    </row>
    <row r="48" spans="1:12">
      <c r="A48" s="43">
        <v>54</v>
      </c>
      <c r="C48" s="1" t="str">
        <f>+'New Year-Full Year'!C58</f>
        <v>Church Membership Activities</v>
      </c>
      <c r="E48" s="38">
        <f>+'New Year-Full Year'!P58</f>
        <v>400</v>
      </c>
      <c r="F48" s="38">
        <f>+'New Year-Full Year'!Q58</f>
        <v>400</v>
      </c>
      <c r="G48" s="38">
        <f t="shared" ref="G48:G49" si="12">+E48-F48</f>
        <v>0</v>
      </c>
      <c r="H48" s="4">
        <f>IF(F48=0,"NA",(+E48-F48)/F48)</f>
        <v>0</v>
      </c>
      <c r="J48" s="38">
        <f>+'New Year-Full Year'!U58</f>
        <v>421.61</v>
      </c>
      <c r="K48" s="38">
        <f>+'New Year-Full Year'!V58</f>
        <v>400</v>
      </c>
      <c r="L48" s="4">
        <f>IF(K48=0,"NA",(+J48-K48)/K48)</f>
        <v>5.4025000000000031E-2</v>
      </c>
    </row>
    <row r="49" spans="1:12">
      <c r="A49" s="43">
        <v>55</v>
      </c>
      <c r="C49" s="1" t="str">
        <f>+'New Year-Full Year'!C59</f>
        <v>Sunday Coffee</v>
      </c>
      <c r="E49" s="38">
        <f>+'New Year-Full Year'!P59</f>
        <v>150</v>
      </c>
      <c r="F49" s="38">
        <f>+'New Year-Full Year'!Q59</f>
        <v>150</v>
      </c>
      <c r="G49" s="38">
        <f t="shared" si="12"/>
        <v>0</v>
      </c>
      <c r="H49" s="4">
        <f>IF(F49=0,"NA",(+E49-F49)/F49)</f>
        <v>0</v>
      </c>
      <c r="J49" s="38">
        <f>+'New Year-Full Year'!U59</f>
        <v>164.57</v>
      </c>
      <c r="K49" s="38">
        <f>+'New Year-Full Year'!V59</f>
        <v>150</v>
      </c>
      <c r="L49" s="4">
        <f>IF(K49=0,"NA",(+J49-K49)/K49)</f>
        <v>9.7133333333333294E-2</v>
      </c>
    </row>
    <row r="50" spans="1:12" s="2" customFormat="1">
      <c r="A50" s="43">
        <v>56</v>
      </c>
      <c r="B50" s="37" t="str">
        <f>+'New Year-Full Year'!B60</f>
        <v>Total Church Membership</v>
      </c>
      <c r="C50" s="37"/>
      <c r="D50" s="37"/>
      <c r="E50" s="37">
        <f>SUM(E48:E49)</f>
        <v>550</v>
      </c>
      <c r="F50" s="37">
        <f>SUM(F48:F49)</f>
        <v>550</v>
      </c>
      <c r="G50" s="37">
        <f>SUM(G48:G49)</f>
        <v>0</v>
      </c>
      <c r="H50" s="21">
        <f>IF(F50=0,"NA",(+E50-F50)/F50)</f>
        <v>0</v>
      </c>
      <c r="J50" s="37">
        <f>SUM(J48:J49)</f>
        <v>586.18000000000006</v>
      </c>
      <c r="K50" s="37">
        <f>SUM(K48:K49)</f>
        <v>550</v>
      </c>
      <c r="L50" s="21">
        <f>IF(K50=0,"NA",(+J50-K50)/K50)</f>
        <v>6.5781818181818302E-2</v>
      </c>
    </row>
    <row r="51" spans="1:12" ht="5.25" customHeight="1">
      <c r="A51" s="43">
        <v>57</v>
      </c>
      <c r="H51" s="39"/>
    </row>
    <row r="52" spans="1:12">
      <c r="A52" s="43">
        <v>58</v>
      </c>
      <c r="B52" s="37" t="str">
        <f>+'New Year-Full Year'!B62</f>
        <v>Church &amp; Community</v>
      </c>
      <c r="C52" s="22"/>
      <c r="D52" s="22"/>
      <c r="E52" s="45">
        <f>+'New Year-Full Year'!P62</f>
        <v>200</v>
      </c>
      <c r="F52" s="45">
        <f>+'New Year-Full Year'!Q62</f>
        <v>200</v>
      </c>
      <c r="G52" s="37">
        <f t="shared" ref="G52" si="13">+E52-F52</f>
        <v>0</v>
      </c>
      <c r="H52" s="21">
        <f>IF(F52=0,"NA",(+E52-F52)/F52)</f>
        <v>0</v>
      </c>
      <c r="J52" s="45">
        <f>+'New Year-Full Year'!U62</f>
        <v>200</v>
      </c>
      <c r="K52" s="45">
        <f>+'New Year-Full Year'!V62</f>
        <v>200</v>
      </c>
      <c r="L52" s="21">
        <f>IF(K52=0,"NA",(+J52-K52)/K52)</f>
        <v>0</v>
      </c>
    </row>
    <row r="53" spans="1:12" ht="6" customHeight="1">
      <c r="A53" s="43">
        <v>59</v>
      </c>
      <c r="H53" s="39"/>
    </row>
    <row r="54" spans="1:12">
      <c r="A54" s="43">
        <v>60</v>
      </c>
      <c r="B54" s="2" t="str">
        <f>+'New Year-Full Year'!B64</f>
        <v>Misc Programs</v>
      </c>
      <c r="H54" s="39"/>
    </row>
    <row r="55" spans="1:12">
      <c r="A55" s="43">
        <v>61</v>
      </c>
      <c r="C55" s="1" t="str">
        <f>+'New Year-Full Year'!C65</f>
        <v>Stewardship</v>
      </c>
      <c r="E55" s="38">
        <f>+'New Year-Full Year'!P65</f>
        <v>200</v>
      </c>
      <c r="F55" s="38">
        <f>+'New Year-Full Year'!Q65</f>
        <v>200</v>
      </c>
      <c r="G55" s="38">
        <f t="shared" ref="G55:G60" si="14">+E55-F55</f>
        <v>0</v>
      </c>
      <c r="H55" s="4">
        <f t="shared" ref="H55:H61" si="15">IF(F55=0,"NA",(+E55-F55)/F55)</f>
        <v>0</v>
      </c>
      <c r="J55" s="38">
        <f>+'New Year-Full Year'!U65</f>
        <v>0</v>
      </c>
      <c r="K55" s="38">
        <f>+'New Year-Full Year'!V65</f>
        <v>200</v>
      </c>
      <c r="L55" s="4">
        <f t="shared" ref="L55:L61" si="16">IF(K55=0,"NA",(+J55-K55)/K55)</f>
        <v>-1</v>
      </c>
    </row>
    <row r="56" spans="1:12">
      <c r="A56" s="43">
        <v>62</v>
      </c>
      <c r="C56" s="1" t="str">
        <f>+'New Year-Full Year'!C66</f>
        <v>Envelopes, Giving</v>
      </c>
      <c r="E56" s="38">
        <f>+'New Year-Full Year'!P66</f>
        <v>700</v>
      </c>
      <c r="F56" s="38">
        <f>+'New Year-Full Year'!Q66</f>
        <v>800</v>
      </c>
      <c r="G56" s="38">
        <f t="shared" si="14"/>
        <v>-100</v>
      </c>
      <c r="H56" s="4">
        <f t="shared" si="15"/>
        <v>-0.125</v>
      </c>
      <c r="J56" s="38">
        <f>+'New Year-Full Year'!U66</f>
        <v>701.37</v>
      </c>
      <c r="K56" s="38">
        <f>+'New Year-Full Year'!V66</f>
        <v>800</v>
      </c>
      <c r="L56" s="4">
        <f t="shared" si="16"/>
        <v>-0.12328749999999999</v>
      </c>
    </row>
    <row r="57" spans="1:12">
      <c r="A57" s="43">
        <v>63</v>
      </c>
      <c r="C57" s="1" t="str">
        <f>+'New Year-Full Year'!C67</f>
        <v>Synod Assembly</v>
      </c>
      <c r="E57" s="38">
        <f>+'New Year-Full Year'!P67</f>
        <v>1000</v>
      </c>
      <c r="F57" s="38">
        <f>+'New Year-Full Year'!Q67</f>
        <v>1000</v>
      </c>
      <c r="G57" s="38">
        <f t="shared" si="14"/>
        <v>0</v>
      </c>
      <c r="H57" s="4">
        <f t="shared" si="15"/>
        <v>0</v>
      </c>
      <c r="J57" s="38">
        <f>+'New Year-Full Year'!U67</f>
        <v>910</v>
      </c>
      <c r="K57" s="38">
        <f>+'New Year-Full Year'!V67</f>
        <v>1000</v>
      </c>
      <c r="L57" s="4">
        <f t="shared" si="16"/>
        <v>-0.09</v>
      </c>
    </row>
    <row r="58" spans="1:12">
      <c r="A58" s="43">
        <v>64</v>
      </c>
      <c r="C58" s="1" t="str">
        <f>+'New Year-Full Year'!C68</f>
        <v>Evangelism</v>
      </c>
      <c r="E58" s="38">
        <f>+'New Year-Full Year'!P68</f>
        <v>3000</v>
      </c>
      <c r="F58" s="38">
        <f>+'New Year-Full Year'!Q68</f>
        <v>3000</v>
      </c>
      <c r="G58" s="38">
        <f t="shared" si="14"/>
        <v>0</v>
      </c>
      <c r="H58" s="4">
        <f t="shared" si="15"/>
        <v>0</v>
      </c>
      <c r="J58" s="38">
        <f>+'New Year-Full Year'!U68</f>
        <v>1594.03</v>
      </c>
      <c r="K58" s="38">
        <f>+'New Year-Full Year'!V68</f>
        <v>3000</v>
      </c>
      <c r="L58" s="4">
        <f t="shared" si="16"/>
        <v>-0.46865666666666667</v>
      </c>
    </row>
    <row r="59" spans="1:12">
      <c r="C59" s="1" t="str">
        <f>+'New Year-Full Year'!C69</f>
        <v>Other Programs</v>
      </c>
      <c r="E59" s="38">
        <f>+'New Year-Full Year'!P69</f>
        <v>200</v>
      </c>
      <c r="F59" s="38">
        <f>+'New Year-Full Year'!Q69</f>
        <v>200</v>
      </c>
      <c r="G59" s="38">
        <f t="shared" si="14"/>
        <v>0</v>
      </c>
      <c r="H59" s="4">
        <f>IF(F59=0,"NA",(+E59-F59)/F59)</f>
        <v>0</v>
      </c>
      <c r="J59" s="38">
        <f>+'New Year-Full Year'!U69</f>
        <v>0</v>
      </c>
      <c r="K59" s="38">
        <f>+'New Year-Full Year'!V69</f>
        <v>200</v>
      </c>
      <c r="L59" s="4">
        <f>IF(K59=0,"NA",(+J59-K59)/K59)</f>
        <v>-1</v>
      </c>
    </row>
    <row r="60" spans="1:12">
      <c r="A60" s="43">
        <v>65</v>
      </c>
      <c r="C60" s="1" t="str">
        <f>+'New Year-Full Year'!C70</f>
        <v>Organ/Piano Maintenance</v>
      </c>
      <c r="E60" s="38">
        <f>+'New Year-Full Year'!P70</f>
        <v>1575</v>
      </c>
      <c r="F60" s="38">
        <f>+'New Year-Full Year'!Q70</f>
        <v>1575</v>
      </c>
      <c r="G60" s="38">
        <f t="shared" si="14"/>
        <v>0</v>
      </c>
      <c r="H60" s="4">
        <f t="shared" si="15"/>
        <v>0</v>
      </c>
      <c r="J60" s="38">
        <f>+'New Year-Full Year'!U70</f>
        <v>1205.25</v>
      </c>
      <c r="K60" s="38">
        <f>+'New Year-Full Year'!V70</f>
        <v>1575</v>
      </c>
      <c r="L60" s="4">
        <f t="shared" si="16"/>
        <v>-0.23476190476190475</v>
      </c>
    </row>
    <row r="61" spans="1:12" s="2" customFormat="1">
      <c r="A61" s="43">
        <v>66</v>
      </c>
      <c r="B61" s="37" t="str">
        <f>+'New Year-Full Year'!B72</f>
        <v>Total Misc Programs</v>
      </c>
      <c r="C61" s="37"/>
      <c r="D61" s="37"/>
      <c r="E61" s="37">
        <f>SUM(E55:E60)</f>
        <v>6675</v>
      </c>
      <c r="F61" s="37">
        <f>SUM(F55:F60)</f>
        <v>6775</v>
      </c>
      <c r="G61" s="37">
        <f>SUM(G55:G60)</f>
        <v>-100</v>
      </c>
      <c r="H61" s="21">
        <f t="shared" si="15"/>
        <v>-1.4760147601476014E-2</v>
      </c>
      <c r="J61" s="37">
        <f>SUM(J55:J60)</f>
        <v>4410.6499999999996</v>
      </c>
      <c r="K61" s="37">
        <f>SUM(K55:K60)</f>
        <v>6775</v>
      </c>
      <c r="L61" s="21">
        <f t="shared" si="16"/>
        <v>-0.34898154981549823</v>
      </c>
    </row>
    <row r="62" spans="1:12" ht="6" customHeight="1">
      <c r="A62" s="43">
        <v>67</v>
      </c>
      <c r="H62" s="39"/>
    </row>
    <row r="63" spans="1:12">
      <c r="A63" s="43">
        <v>68</v>
      </c>
      <c r="B63" s="2" t="str">
        <f>+'New Year-Full Year'!B74</f>
        <v>Office Expense</v>
      </c>
      <c r="H63" s="39"/>
    </row>
    <row r="64" spans="1:12">
      <c r="A64" s="43">
        <v>69</v>
      </c>
      <c r="C64" s="1" t="str">
        <f>+'New Year-Full Year'!C75</f>
        <v>Office Supplies</v>
      </c>
      <c r="E64" s="38">
        <f>+'New Year-Full Year'!P75</f>
        <v>3500</v>
      </c>
      <c r="F64" s="38">
        <f>+'New Year-Full Year'!Q75</f>
        <v>3500</v>
      </c>
      <c r="G64" s="38">
        <f t="shared" ref="G64:G69" si="17">+E64-F64</f>
        <v>0</v>
      </c>
      <c r="H64" s="4">
        <f t="shared" ref="H64:H71" si="18">IF(F64=0,"NA",(+E64-F64)/F64)</f>
        <v>0</v>
      </c>
      <c r="J64" s="38">
        <f>+'New Year-Full Year'!U75</f>
        <v>3958.57</v>
      </c>
      <c r="K64" s="38">
        <f>+'New Year-Full Year'!V75</f>
        <v>3500</v>
      </c>
      <c r="L64" s="4">
        <f t="shared" ref="L64:L71" si="19">IF(K64=0,"NA",(+J64-K64)/K64)</f>
        <v>0.13102000000000005</v>
      </c>
    </row>
    <row r="65" spans="1:13">
      <c r="A65" s="43">
        <v>70</v>
      </c>
      <c r="C65" s="1" t="str">
        <f>+'New Year-Full Year'!C76</f>
        <v>Postage</v>
      </c>
      <c r="E65" s="38">
        <f>+'New Year-Full Year'!P76</f>
        <v>2250</v>
      </c>
      <c r="F65" s="38">
        <f>+'New Year-Full Year'!Q76</f>
        <v>3250</v>
      </c>
      <c r="G65" s="38">
        <f t="shared" si="17"/>
        <v>-1000</v>
      </c>
      <c r="H65" s="4">
        <f t="shared" si="18"/>
        <v>-0.30769230769230771</v>
      </c>
      <c r="J65" s="38">
        <f>+'New Year-Full Year'!U76</f>
        <v>2083.9899999999998</v>
      </c>
      <c r="K65" s="38">
        <f>+'New Year-Full Year'!V76</f>
        <v>3250</v>
      </c>
      <c r="L65" s="4">
        <f t="shared" si="19"/>
        <v>-0.35877230769230778</v>
      </c>
    </row>
    <row r="66" spans="1:13">
      <c r="A66" s="43">
        <v>73</v>
      </c>
      <c r="C66" s="1" t="str">
        <f>+'New Year-Full Year'!C77</f>
        <v>Office Equipment/Computer</v>
      </c>
      <c r="E66" s="38">
        <f>+'New Year-Full Year'!P77</f>
        <v>13000</v>
      </c>
      <c r="F66" s="38">
        <f>+'New Year-Full Year'!Q77</f>
        <v>13000</v>
      </c>
      <c r="G66" s="38">
        <f t="shared" si="17"/>
        <v>0</v>
      </c>
      <c r="H66" s="4">
        <f t="shared" si="18"/>
        <v>0</v>
      </c>
      <c r="J66" s="38">
        <f>+'New Year-Full Year'!U77</f>
        <v>16978.37</v>
      </c>
      <c r="K66" s="38">
        <f>+'New Year-Full Year'!V77</f>
        <v>13000</v>
      </c>
      <c r="L66" s="4">
        <f t="shared" si="19"/>
        <v>0.30602846153846147</v>
      </c>
    </row>
    <row r="67" spans="1:13">
      <c r="A67" s="43">
        <v>74</v>
      </c>
      <c r="C67" s="1" t="str">
        <f>+'New Year-Full Year'!C78</f>
        <v>Kitchen Supplies</v>
      </c>
      <c r="E67" s="38">
        <f>+'New Year-Full Year'!P78</f>
        <v>1200</v>
      </c>
      <c r="F67" s="38">
        <f>+'New Year-Full Year'!Q78</f>
        <v>1000</v>
      </c>
      <c r="G67" s="38">
        <f t="shared" si="17"/>
        <v>200</v>
      </c>
      <c r="H67" s="4">
        <f t="shared" si="18"/>
        <v>0.2</v>
      </c>
      <c r="J67" s="38">
        <f>+'New Year-Full Year'!U78</f>
        <v>1478.64</v>
      </c>
      <c r="K67" s="38">
        <f>+'New Year-Full Year'!V78</f>
        <v>1000</v>
      </c>
      <c r="L67" s="4">
        <f t="shared" si="19"/>
        <v>0.47864000000000012</v>
      </c>
    </row>
    <row r="68" spans="1:13">
      <c r="A68" s="43">
        <v>75</v>
      </c>
      <c r="C68" s="1" t="str">
        <f>+'New Year-Full Year'!C79</f>
        <v>Bank Fees</v>
      </c>
      <c r="E68" s="38">
        <f>+'New Year-Full Year'!P79</f>
        <v>1700</v>
      </c>
      <c r="F68" s="38">
        <f>+'New Year-Full Year'!Q79</f>
        <v>1700</v>
      </c>
      <c r="G68" s="38">
        <f t="shared" si="17"/>
        <v>0</v>
      </c>
      <c r="H68" s="4">
        <f t="shared" si="18"/>
        <v>0</v>
      </c>
      <c r="J68" s="38">
        <f>+'New Year-Full Year'!U79</f>
        <v>1530.51</v>
      </c>
      <c r="K68" s="38">
        <f>+'New Year-Full Year'!V79</f>
        <v>1700</v>
      </c>
      <c r="L68" s="4">
        <f t="shared" si="19"/>
        <v>-9.9700000000000011E-2</v>
      </c>
    </row>
    <row r="69" spans="1:13">
      <c r="A69" s="43">
        <v>76</v>
      </c>
      <c r="C69" s="1" t="str">
        <f>+'New Year-Full Year'!C80</f>
        <v>Professional Fees</v>
      </c>
      <c r="E69" s="38">
        <f>+'New Year-Full Year'!P80</f>
        <v>4500</v>
      </c>
      <c r="F69" s="38">
        <f>+'New Year-Full Year'!Q80</f>
        <v>0</v>
      </c>
      <c r="G69" s="38">
        <f t="shared" si="17"/>
        <v>4500</v>
      </c>
      <c r="H69" s="4" t="str">
        <f>IF(F69=0,"NA",(+E69-F69)/F69)</f>
        <v>NA</v>
      </c>
      <c r="J69" s="38">
        <f>+'New Year-Full Year'!U80</f>
        <v>537.5</v>
      </c>
      <c r="K69" s="38">
        <f>+'New Year-Full Year'!V80</f>
        <v>0</v>
      </c>
      <c r="L69" s="4" t="str">
        <f>IF(K69=0,"NA",(+J69-K69)/K69)</f>
        <v>NA</v>
      </c>
    </row>
    <row r="70" spans="1:13" s="2" customFormat="1">
      <c r="A70" s="43">
        <v>76</v>
      </c>
      <c r="B70" s="37" t="str">
        <f>+'New Year-Full Year'!B81</f>
        <v>Total Office Expense</v>
      </c>
      <c r="C70" s="37"/>
      <c r="D70" s="37"/>
      <c r="E70" s="37">
        <f>SUM(E64:E69)</f>
        <v>26150</v>
      </c>
      <c r="F70" s="37">
        <f>SUM(F64:F69)</f>
        <v>22450</v>
      </c>
      <c r="G70" s="37">
        <f>SUM(G64:G69)</f>
        <v>3700</v>
      </c>
      <c r="H70" s="21">
        <f t="shared" si="18"/>
        <v>0.16481069042316257</v>
      </c>
      <c r="J70" s="37">
        <f>SUM(J64:J69)</f>
        <v>26567.579999999998</v>
      </c>
      <c r="K70" s="37">
        <f>SUM(K64:K69)</f>
        <v>22450</v>
      </c>
      <c r="L70" s="21">
        <f t="shared" si="19"/>
        <v>0.18341113585746094</v>
      </c>
    </row>
    <row r="71" spans="1:13">
      <c r="A71" s="43">
        <v>77</v>
      </c>
      <c r="B71" s="37" t="str">
        <f>+'New Year-Full Year'!B82</f>
        <v>TOTAL PROGRAMS</v>
      </c>
      <c r="C71" s="23"/>
      <c r="D71" s="23"/>
      <c r="E71" s="37">
        <f>+E37+E43+E45+E52+E61+E70+E50</f>
        <v>55025</v>
      </c>
      <c r="F71" s="37">
        <f>+F37+F43+F45+F52+F61+F70+F50</f>
        <v>52525</v>
      </c>
      <c r="G71" s="37">
        <f>+G37+G43+G45+G52+G61+G70+G50</f>
        <v>2500</v>
      </c>
      <c r="H71" s="21">
        <f t="shared" si="18"/>
        <v>4.7596382674916705E-2</v>
      </c>
      <c r="J71" s="37">
        <f>+J37+J43+J45+J52+J61+J70+J50</f>
        <v>45980.219999999994</v>
      </c>
      <c r="K71" s="37">
        <f>+K37+K43+K45+K52+K61+K70+K50</f>
        <v>52525</v>
      </c>
      <c r="L71" s="21">
        <f t="shared" si="19"/>
        <v>-0.12460314136125666</v>
      </c>
    </row>
    <row r="72" spans="1:13" ht="8.25" customHeight="1">
      <c r="A72" s="43">
        <v>78</v>
      </c>
      <c r="H72" s="39"/>
    </row>
    <row r="73" spans="1:13" ht="18.5">
      <c r="A73" s="43">
        <v>79</v>
      </c>
      <c r="B73" s="7" t="s">
        <v>38</v>
      </c>
      <c r="H73" s="39"/>
    </row>
    <row r="74" spans="1:13" hidden="1">
      <c r="B74" s="2" t="s">
        <v>440</v>
      </c>
      <c r="H74" s="39"/>
    </row>
    <row r="75" spans="1:13" hidden="1">
      <c r="A75" s="43">
        <v>81</v>
      </c>
      <c r="C75" s="635" t="s">
        <v>441</v>
      </c>
      <c r="D75" s="635"/>
      <c r="E75" s="38">
        <f>+'New Year-Full Year'!P$86+'New Year-Full Year'!P$99+'New Year-Full Year'!P$114+'New Year-Full Year'!P$126+'New Year-Full Year'!P$139+SUM('New Year-Full Year'!P$142:P$144)+SUM('New Year-Full Year'!P$149:P$150)+'New Year-Full Year'!P$153-'New Year-Full Year'!P99-'New Year-Full Year'!P114-'New Year-Full Year'!P124</f>
        <v>212669</v>
      </c>
      <c r="F75" s="38">
        <f>+'New Year-Full Year'!Q$86+'New Year-Full Year'!Q$99+'New Year-Full Year'!Q$114+'New Year-Full Year'!Q$126+'New Year-Full Year'!Q$139+SUM('New Year-Full Year'!Q$142:Q$144)+SUM('New Year-Full Year'!Q$149:Q$150)+'New Year-Full Year'!Q$153-'New Year-Full Year'!Q99-'New Year-Full Year'!Q114-'New Year-Full Year'!Q124</f>
        <v>208511</v>
      </c>
      <c r="G75" s="38"/>
      <c r="H75" s="4">
        <f>IF(F75=0,"NA",(+E75-F75)/F75)</f>
        <v>1.9941393979214527E-2</v>
      </c>
      <c r="J75" s="38">
        <f>+'New Year-Full Year'!U$86+'New Year-Full Year'!U$114+'New Year-Full Year'!U$126+'New Year-Full Year'!U$139+SUM('New Year-Full Year'!U$142:U$144)+SUM('New Year-Full Year'!U$149:U$150)+'New Year-Full Year'!U$153</f>
        <v>274993.65999999997</v>
      </c>
      <c r="K75" s="38">
        <f>+'New Year-Full Year'!V$86+'New Year-Full Year'!V$114+'New Year-Full Year'!V$126+'New Year-Full Year'!V$139+SUM('New Year-Full Year'!V$142:V$144)+SUM('New Year-Full Year'!V$149:V$150)+'New Year-Full Year'!V$153</f>
        <v>274319</v>
      </c>
      <c r="L75" s="4">
        <f>IF(K75=0,"NA",(+J75-K75)/K75)</f>
        <v>2.4593994582948115E-3</v>
      </c>
    </row>
    <row r="76" spans="1:13" hidden="1">
      <c r="A76" s="43">
        <v>83</v>
      </c>
      <c r="C76" s="1" t="s">
        <v>101</v>
      </c>
      <c r="E76" s="38">
        <f>SUM('New Year-Full Year'!P87:P95)+SUM('New Year-Full Year'!P100:P110)+SUM('New Year-Full Year'!P115:P119)+'New Year-Full Year'!P147+'New Year-Full Year'!P148+'New Year-Full Year'!P151+'New Year-Full Year'!P152-SUM('New Year-Full Year'!P100:P110)-SUM('New Year-Full Year'!P115:P119)-ROUND(('New Year-Full Year'!P114+'New Year-Full Year'!P124)*0.0765,0)</f>
        <v>40922</v>
      </c>
      <c r="F76" s="38">
        <f>SUM('New Year-Full Year'!Q87:Q95)+SUM('New Year-Full Year'!Q100:Q110)+SUM('New Year-Full Year'!Q115:Q119)+'New Year-Full Year'!Q147+'New Year-Full Year'!Q148+'New Year-Full Year'!Q151+'New Year-Full Year'!Q152-SUM('New Year-Full Year'!Q100:Q110)-SUM('New Year-Full Year'!Q115:Q119)-ROUND(('New Year-Full Year'!Q114+'New Year-Full Year'!Q124)*0.0765,0)</f>
        <v>41715.380499999999</v>
      </c>
      <c r="G76" s="38"/>
      <c r="H76" s="4">
        <f>IF(F76=0,"NA",(+E76-F76)/F76)</f>
        <v>-1.9018896399614509E-2</v>
      </c>
      <c r="J76" s="38">
        <f>SUM('New Year-Full Year'!U87:U95)+SUM('New Year-Full Year'!U100:U110)+SUM('New Year-Full Year'!U115:U119)+'New Year-Full Year'!U147+'New Year-Full Year'!U148+'New Year-Full Year'!U151+'New Year-Full Year'!U152</f>
        <v>47868.25</v>
      </c>
      <c r="K76" s="38">
        <f>SUM('New Year-Full Year'!V87:V95)+SUM('New Year-Full Year'!V100:V110)+SUM('New Year-Full Year'!V115:V119)+'New Year-Full Year'!V147+'New Year-Full Year'!V148+'New Year-Full Year'!V151+'New Year-Full Year'!V152</f>
        <v>51829</v>
      </c>
      <c r="L76" s="4">
        <f>IF(K76=0,"NA",(+J76-K76)/K76)</f>
        <v>-7.6419572054255341E-2</v>
      </c>
      <c r="M76" s="338"/>
    </row>
    <row r="77" spans="1:13" hidden="1">
      <c r="B77" s="2" t="s">
        <v>442</v>
      </c>
      <c r="D77" s="2" t="s">
        <v>443</v>
      </c>
      <c r="E77" s="38"/>
      <c r="F77" s="38"/>
      <c r="G77" s="38"/>
      <c r="H77" s="4"/>
      <c r="J77" s="38"/>
      <c r="K77" s="38"/>
      <c r="L77" s="4"/>
      <c r="M77" s="338"/>
    </row>
    <row r="78" spans="1:13" hidden="1">
      <c r="C78" s="635" t="s">
        <v>446</v>
      </c>
      <c r="D78" s="635"/>
      <c r="E78" s="38">
        <f>+'New Year-Full Year'!P111+'New Year-Full Year'!P120+'New Year-Full Year'!P124+ROUND(('New Year-Full Year'!P114+'New Year-Full Year'!P124)*0.0765,0)</f>
        <v>78155</v>
      </c>
      <c r="F78" s="38">
        <f>+'New Year-Full Year'!Q111+'New Year-Full Year'!Q120+'New Year-Full Year'!Q124+ROUND(('New Year-Full Year'!Q114+'New Year-Full Year'!Q124)*0.0765,0)</f>
        <v>75922</v>
      </c>
      <c r="G78" s="38"/>
      <c r="H78" s="4">
        <f>IF(F78=0,"NA",(+E78-F78)/F78)</f>
        <v>2.9411764705882353E-2</v>
      </c>
      <c r="J78" s="38">
        <f>+'New Year-Full Year'!U$86+'New Year-Full Year'!U$114+'New Year-Full Year'!U$126+'New Year-Full Year'!U$139+SUM('New Year-Full Year'!U$142:U$144)+SUM('New Year-Full Year'!U$149:U$150)+'New Year-Full Year'!U$153</f>
        <v>274993.65999999997</v>
      </c>
      <c r="K78" s="38">
        <f>+'New Year-Full Year'!V$86+'New Year-Full Year'!V$114+'New Year-Full Year'!V$126+'New Year-Full Year'!V$139+SUM('New Year-Full Year'!V$142:V$144)+SUM('New Year-Full Year'!V$149:V$150)+'New Year-Full Year'!V$153</f>
        <v>274319</v>
      </c>
      <c r="L78" s="4">
        <f>IF(K78=0,"NA",(+J78-K78)/K78)</f>
        <v>2.4593994582948115E-3</v>
      </c>
      <c r="M78" s="338"/>
    </row>
    <row r="79" spans="1:13" s="2" customFormat="1">
      <c r="A79" s="43">
        <v>86</v>
      </c>
      <c r="B79" s="24" t="s">
        <v>447</v>
      </c>
      <c r="C79" s="24"/>
      <c r="D79" s="24"/>
      <c r="E79" s="24">
        <f>SUM(E75:E78)</f>
        <v>331746</v>
      </c>
      <c r="F79" s="24">
        <f>SUM(F75:F78)</f>
        <v>326148.38049999997</v>
      </c>
      <c r="G79" s="24">
        <f t="shared" ref="G79" si="20">+E79-F79</f>
        <v>5597.6195000000298</v>
      </c>
      <c r="H79" s="25">
        <f>IF(F79=0,"NA",(+E79-F79)/F79)</f>
        <v>1.7162800230430795E-2</v>
      </c>
      <c r="J79" s="24">
        <f>SUM(J75:J76)</f>
        <v>322861.90999999997</v>
      </c>
      <c r="K79" s="24">
        <f>SUM(K75:K76)</f>
        <v>326148</v>
      </c>
      <c r="L79" s="25">
        <f>IF(K79=0,"NA",(+J79-K79)/K79)</f>
        <v>-1.0075456541202232E-2</v>
      </c>
      <c r="M79" s="339"/>
    </row>
    <row r="80" spans="1:13" ht="8.25" customHeight="1">
      <c r="A80" s="43">
        <v>129</v>
      </c>
      <c r="H80" s="39"/>
    </row>
    <row r="81" spans="1:12" ht="18.5">
      <c r="A81" s="43">
        <v>130</v>
      </c>
      <c r="B81" s="7" t="str">
        <f>+'New Year-Full Year'!B157</f>
        <v>Facilities</v>
      </c>
      <c r="H81" s="39"/>
    </row>
    <row r="82" spans="1:12">
      <c r="A82" s="43">
        <v>131</v>
      </c>
      <c r="B82" s="2" t="str">
        <f>+'New Year-Full Year'!B158</f>
        <v>Utilities</v>
      </c>
      <c r="H82" s="39"/>
    </row>
    <row r="83" spans="1:12">
      <c r="A83" s="43">
        <v>132</v>
      </c>
      <c r="C83" s="1" t="str">
        <f>+'New Year-Full Year'!C159</f>
        <v>Electric</v>
      </c>
      <c r="E83" s="38">
        <f>+'New Year-Full Year'!P159</f>
        <v>12000</v>
      </c>
      <c r="F83" s="38">
        <f>+'New Year-Full Year'!Q159</f>
        <v>10500</v>
      </c>
      <c r="G83" s="38">
        <f t="shared" ref="G83:G89" si="21">+E83-F83</f>
        <v>1500</v>
      </c>
      <c r="H83" s="4">
        <f t="shared" ref="H83:H90" si="22">IF(F83=0,"NA",(+E83-F83)/F83)</f>
        <v>0.14285714285714285</v>
      </c>
      <c r="J83" s="38">
        <f>+'New Year-Full Year'!U159</f>
        <v>11083.38</v>
      </c>
      <c r="K83" s="38">
        <f>+'New Year-Full Year'!V159</f>
        <v>10500</v>
      </c>
      <c r="L83" s="4">
        <f t="shared" ref="L83:L90" si="23">IF(K83=0,"NA",(+J83-K83)/K83)</f>
        <v>5.5559999999999922E-2</v>
      </c>
    </row>
    <row r="84" spans="1:12">
      <c r="A84" s="43">
        <v>133</v>
      </c>
      <c r="C84" s="1" t="str">
        <f>+'New Year-Full Year'!C160</f>
        <v>Gas</v>
      </c>
      <c r="E84" s="38">
        <f>+'New Year-Full Year'!P160</f>
        <v>10000</v>
      </c>
      <c r="F84" s="38">
        <f>+'New Year-Full Year'!Q160</f>
        <v>8160</v>
      </c>
      <c r="G84" s="38">
        <f t="shared" si="21"/>
        <v>1840</v>
      </c>
      <c r="H84" s="4">
        <f t="shared" si="22"/>
        <v>0.22549019607843138</v>
      </c>
      <c r="J84" s="38">
        <f>+'New Year-Full Year'!U160</f>
        <v>10605.19</v>
      </c>
      <c r="K84" s="38">
        <f>+'New Year-Full Year'!V160</f>
        <v>8160</v>
      </c>
      <c r="L84" s="4">
        <f t="shared" si="23"/>
        <v>0.29965563725490202</v>
      </c>
    </row>
    <row r="85" spans="1:12">
      <c r="A85" s="43">
        <v>134</v>
      </c>
      <c r="C85" s="1" t="str">
        <f>+'New Year-Full Year'!C161</f>
        <v>Telephone</v>
      </c>
      <c r="E85" s="38">
        <f>+'New Year-Full Year'!P161</f>
        <v>4400</v>
      </c>
      <c r="F85" s="38">
        <f>+'New Year-Full Year'!Q161</f>
        <v>4500</v>
      </c>
      <c r="G85" s="38">
        <f t="shared" si="21"/>
        <v>-100</v>
      </c>
      <c r="H85" s="4">
        <f t="shared" si="22"/>
        <v>-2.2222222222222223E-2</v>
      </c>
      <c r="J85" s="38">
        <f>+'New Year-Full Year'!U161</f>
        <v>4352.09</v>
      </c>
      <c r="K85" s="38">
        <f>+'New Year-Full Year'!V161</f>
        <v>4500</v>
      </c>
      <c r="L85" s="4">
        <f t="shared" si="23"/>
        <v>-3.2868888888888857E-2</v>
      </c>
    </row>
    <row r="86" spans="1:12">
      <c r="A86" s="43">
        <v>135</v>
      </c>
      <c r="C86" s="1" t="str">
        <f>+'New Year-Full Year'!C163</f>
        <v>Water</v>
      </c>
      <c r="E86" s="38">
        <f>+'New Year-Full Year'!P163</f>
        <v>1000</v>
      </c>
      <c r="F86" s="38">
        <f>+'New Year-Full Year'!Q163</f>
        <v>816</v>
      </c>
      <c r="G86" s="38">
        <f t="shared" si="21"/>
        <v>184</v>
      </c>
      <c r="H86" s="4">
        <f t="shared" si="22"/>
        <v>0.22549019607843138</v>
      </c>
      <c r="J86" s="38">
        <f>+'New Year-Full Year'!U163</f>
        <v>984.88</v>
      </c>
      <c r="K86" s="38">
        <f>+'New Year-Full Year'!V163</f>
        <v>816</v>
      </c>
      <c r="L86" s="4">
        <f t="shared" si="23"/>
        <v>0.20696078431372547</v>
      </c>
    </row>
    <row r="87" spans="1:12">
      <c r="A87" s="43">
        <v>136</v>
      </c>
      <c r="C87" s="1" t="str">
        <f>+'New Year-Full Year'!C164</f>
        <v>Security</v>
      </c>
      <c r="E87" s="38">
        <f>+'New Year-Full Year'!P164</f>
        <v>350</v>
      </c>
      <c r="F87" s="38">
        <f>+'New Year-Full Year'!Q164</f>
        <v>300</v>
      </c>
      <c r="G87" s="38">
        <f t="shared" si="21"/>
        <v>50</v>
      </c>
      <c r="H87" s="4">
        <f t="shared" si="22"/>
        <v>0.16666666666666666</v>
      </c>
      <c r="J87" s="38">
        <f>+'New Year-Full Year'!U164</f>
        <v>263.39999999999998</v>
      </c>
      <c r="K87" s="38">
        <f>+'New Year-Full Year'!V164</f>
        <v>300</v>
      </c>
      <c r="L87" s="4">
        <f t="shared" si="23"/>
        <v>-0.12200000000000008</v>
      </c>
    </row>
    <row r="88" spans="1:12">
      <c r="A88" s="43">
        <v>137</v>
      </c>
      <c r="C88" s="1" t="str">
        <f>+'New Year-Full Year'!C165</f>
        <v>Cell Phone</v>
      </c>
      <c r="E88" s="38">
        <f>+'New Year-Full Year'!P165</f>
        <v>250</v>
      </c>
      <c r="F88" s="38">
        <f>+'New Year-Full Year'!Q165</f>
        <v>600</v>
      </c>
      <c r="G88" s="38">
        <f t="shared" si="21"/>
        <v>-350</v>
      </c>
      <c r="H88" s="4">
        <f t="shared" si="22"/>
        <v>-0.58333333333333337</v>
      </c>
      <c r="J88" s="38">
        <f>+'New Year-Full Year'!U165</f>
        <v>795.19</v>
      </c>
      <c r="K88" s="38">
        <f>+'New Year-Full Year'!V165</f>
        <v>600</v>
      </c>
      <c r="L88" s="4">
        <f t="shared" si="23"/>
        <v>0.32531666666666675</v>
      </c>
    </row>
    <row r="89" spans="1:12">
      <c r="A89" s="43">
        <v>138</v>
      </c>
      <c r="C89" s="1" t="str">
        <f>+'New Year-Full Year'!C166</f>
        <v>City Assessment</v>
      </c>
      <c r="E89" s="38">
        <f>+'New Year-Full Year'!P166</f>
        <v>4800</v>
      </c>
      <c r="F89" s="38">
        <f>+'New Year-Full Year'!Q166</f>
        <v>4500</v>
      </c>
      <c r="G89" s="38">
        <f t="shared" si="21"/>
        <v>300</v>
      </c>
      <c r="H89" s="4">
        <f t="shared" si="22"/>
        <v>6.6666666666666666E-2</v>
      </c>
      <c r="J89" s="38">
        <f>+'New Year-Full Year'!U166</f>
        <v>5100.17</v>
      </c>
      <c r="K89" s="38">
        <f>+'New Year-Full Year'!V166</f>
        <v>4500</v>
      </c>
      <c r="L89" s="4">
        <f t="shared" si="23"/>
        <v>0.13337111111111113</v>
      </c>
    </row>
    <row r="90" spans="1:12" s="2" customFormat="1">
      <c r="A90" s="43">
        <v>139</v>
      </c>
      <c r="B90" s="27" t="str">
        <f>+'New Year-Full Year'!B167</f>
        <v>Total Utilities</v>
      </c>
      <c r="C90" s="27"/>
      <c r="D90" s="27"/>
      <c r="E90" s="27">
        <f>SUM(E83:E89)</f>
        <v>32800</v>
      </c>
      <c r="F90" s="27">
        <f>SUM(F83:F89)</f>
        <v>29376</v>
      </c>
      <c r="G90" s="27">
        <f>SUM(G83:G89)</f>
        <v>3424</v>
      </c>
      <c r="H90" s="28">
        <f t="shared" si="22"/>
        <v>0.11655773420479303</v>
      </c>
      <c r="J90" s="27">
        <f>SUM(J83:J89)</f>
        <v>33184.300000000003</v>
      </c>
      <c r="K90" s="27">
        <f>SUM(K83:K89)</f>
        <v>29376</v>
      </c>
      <c r="L90" s="28">
        <f t="shared" si="23"/>
        <v>0.12963984204793039</v>
      </c>
    </row>
    <row r="91" spans="1:12" s="2" customFormat="1" ht="6.75" customHeight="1">
      <c r="A91" s="43">
        <v>140</v>
      </c>
      <c r="B91" s="15"/>
      <c r="C91" s="15"/>
      <c r="D91" s="15"/>
      <c r="E91" s="15"/>
      <c r="F91" s="15"/>
      <c r="G91" s="15"/>
      <c r="H91" s="18"/>
      <c r="J91" s="15"/>
      <c r="K91" s="15"/>
      <c r="L91" s="18"/>
    </row>
    <row r="92" spans="1:12">
      <c r="A92" s="43">
        <v>141</v>
      </c>
      <c r="B92" s="2" t="str">
        <f>+'New Year-Full Year'!B169</f>
        <v>Church Maintenance</v>
      </c>
      <c r="H92" s="39"/>
    </row>
    <row r="93" spans="1:12">
      <c r="A93" s="43">
        <v>142</v>
      </c>
      <c r="C93" s="1" t="str">
        <f>+'New Year-Full Year'!C170</f>
        <v>Insurance</v>
      </c>
      <c r="E93" s="38">
        <f>+'New Year-Full Year'!P170</f>
        <v>15500</v>
      </c>
      <c r="F93" s="38">
        <f>+'New Year-Full Year'!Q170</f>
        <v>16900</v>
      </c>
      <c r="G93" s="38">
        <f t="shared" ref="G93:G97" si="24">+E93-F93</f>
        <v>-1400</v>
      </c>
      <c r="H93" s="4">
        <f t="shared" ref="H93:H100" si="25">IF(F93=0,"NA",(+E93-F93)/F93)</f>
        <v>-8.2840236686390539E-2</v>
      </c>
      <c r="J93" s="38">
        <f>+'New Year-Full Year'!U170</f>
        <v>17282</v>
      </c>
      <c r="K93" s="38">
        <f>+'New Year-Full Year'!V170</f>
        <v>16900</v>
      </c>
      <c r="L93" s="4">
        <f t="shared" ref="L93:L100" si="26">IF(K93=0,"NA",(+J93-K93)/K93)</f>
        <v>2.2603550295857987E-2</v>
      </c>
    </row>
    <row r="94" spans="1:12">
      <c r="A94" s="43">
        <v>143</v>
      </c>
      <c r="C94" s="1" t="str">
        <f>+'New Year-Full Year'!C171</f>
        <v>Snow Removal</v>
      </c>
      <c r="E94" s="38">
        <f>+'New Year-Full Year'!P171</f>
        <v>5000</v>
      </c>
      <c r="F94" s="38">
        <f>+'New Year-Full Year'!Q171</f>
        <v>4500</v>
      </c>
      <c r="G94" s="38">
        <f t="shared" si="24"/>
        <v>500</v>
      </c>
      <c r="H94" s="4">
        <f t="shared" si="25"/>
        <v>0.1111111111111111</v>
      </c>
      <c r="J94" s="38">
        <f>+'New Year-Full Year'!U171</f>
        <v>7144.6</v>
      </c>
      <c r="K94" s="38">
        <f>+'New Year-Full Year'!V171</f>
        <v>4500</v>
      </c>
      <c r="L94" s="4">
        <f t="shared" si="26"/>
        <v>0.58768888888888893</v>
      </c>
    </row>
    <row r="95" spans="1:12">
      <c r="A95" s="43">
        <v>144</v>
      </c>
      <c r="C95" s="1" t="str">
        <f>+'New Year-Full Year'!C172</f>
        <v>Maint.  Supplies</v>
      </c>
      <c r="E95" s="38">
        <f>+'New Year-Full Year'!P172</f>
        <v>4500</v>
      </c>
      <c r="F95" s="38">
        <f>+'New Year-Full Year'!Q172</f>
        <v>4000</v>
      </c>
      <c r="G95" s="38">
        <f t="shared" si="24"/>
        <v>500</v>
      </c>
      <c r="H95" s="4">
        <f t="shared" si="25"/>
        <v>0.125</v>
      </c>
      <c r="J95" s="38">
        <f>+'New Year-Full Year'!U172</f>
        <v>8666.84</v>
      </c>
      <c r="K95" s="38">
        <f>+'New Year-Full Year'!V172</f>
        <v>4000</v>
      </c>
      <c r="L95" s="4">
        <f t="shared" si="26"/>
        <v>1.1667100000000001</v>
      </c>
    </row>
    <row r="96" spans="1:12" ht="15" customHeight="1">
      <c r="A96" s="43">
        <v>145</v>
      </c>
      <c r="C96" s="1" t="str">
        <f>+'New Year-Full Year'!C173</f>
        <v>Maintenance Contracts</v>
      </c>
      <c r="D96" s="78"/>
      <c r="E96" s="38">
        <f>+'New Year-Full Year'!P173</f>
        <v>6000</v>
      </c>
      <c r="F96" s="38">
        <f>+'New Year-Full Year'!Q173</f>
        <v>8000</v>
      </c>
      <c r="G96" s="38">
        <f t="shared" si="24"/>
        <v>-2000</v>
      </c>
      <c r="H96" s="4">
        <f t="shared" si="25"/>
        <v>-0.25</v>
      </c>
      <c r="J96" s="38">
        <f>+'New Year-Full Year'!U173</f>
        <v>5014.6400000000003</v>
      </c>
      <c r="K96" s="38">
        <f>+'New Year-Full Year'!V173</f>
        <v>8000</v>
      </c>
      <c r="L96" s="4">
        <f t="shared" si="26"/>
        <v>-0.37316999999999995</v>
      </c>
    </row>
    <row r="97" spans="1:12">
      <c r="A97" s="43">
        <v>146</v>
      </c>
      <c r="C97" s="1" t="str">
        <f>+'New Year-Full Year'!C175</f>
        <v>Building Repairs</v>
      </c>
      <c r="E97" s="38">
        <f>+'New Year-Full Year'!P175</f>
        <v>10000</v>
      </c>
      <c r="F97" s="38">
        <f>+'New Year-Full Year'!Q175</f>
        <v>8000</v>
      </c>
      <c r="G97" s="38">
        <f t="shared" si="24"/>
        <v>2000</v>
      </c>
      <c r="H97" s="4">
        <f t="shared" si="25"/>
        <v>0.25</v>
      </c>
      <c r="J97" s="38">
        <f>+'New Year-Full Year'!U175</f>
        <v>10397.39</v>
      </c>
      <c r="K97" s="38">
        <f>+'New Year-Full Year'!V175</f>
        <v>8000</v>
      </c>
      <c r="L97" s="4">
        <f t="shared" si="26"/>
        <v>0.29967374999999991</v>
      </c>
    </row>
    <row r="98" spans="1:12" hidden="1">
      <c r="A98" s="43">
        <v>149</v>
      </c>
      <c r="C98" s="1" t="str">
        <f>+'New Year-Full Year'!C176</f>
        <v>Interest-Line of Credit</v>
      </c>
      <c r="E98" s="38">
        <f>+'New Year-Full Year'!P176</f>
        <v>0</v>
      </c>
      <c r="F98" s="38">
        <f>+'New Year-Full Year'!Q176</f>
        <v>0</v>
      </c>
      <c r="G98" s="38"/>
      <c r="H98" s="4" t="str">
        <f t="shared" si="25"/>
        <v>NA</v>
      </c>
      <c r="J98" s="38">
        <f>+'New Year-Full Year'!U176</f>
        <v>0</v>
      </c>
      <c r="K98" s="38">
        <f>+'New Year-Full Year'!V176</f>
        <v>0</v>
      </c>
      <c r="L98" s="4" t="str">
        <f t="shared" si="26"/>
        <v>NA</v>
      </c>
    </row>
    <row r="99" spans="1:12" s="2" customFormat="1">
      <c r="A99" s="43">
        <v>150</v>
      </c>
      <c r="B99" s="27" t="str">
        <f>+'New Year-Full Year'!B177</f>
        <v>Total Church Maintenance</v>
      </c>
      <c r="C99" s="27"/>
      <c r="D99" s="27"/>
      <c r="E99" s="27">
        <f>SUM(E93:E98)</f>
        <v>41000</v>
      </c>
      <c r="F99" s="27">
        <f>SUM(F93:F98)</f>
        <v>41400</v>
      </c>
      <c r="G99" s="27">
        <f>SUM(G93:G98)</f>
        <v>-400</v>
      </c>
      <c r="H99" s="28">
        <f t="shared" si="25"/>
        <v>-9.6618357487922701E-3</v>
      </c>
      <c r="J99" s="27">
        <f>SUM(J93:J98)</f>
        <v>48505.47</v>
      </c>
      <c r="K99" s="27">
        <f>SUM(K93:K98)</f>
        <v>41400</v>
      </c>
      <c r="L99" s="28">
        <f t="shared" si="26"/>
        <v>0.17162971014492756</v>
      </c>
    </row>
    <row r="100" spans="1:12">
      <c r="A100" s="43">
        <v>151</v>
      </c>
      <c r="B100" s="27" t="str">
        <f>+'New Year-Full Year'!B178</f>
        <v>TOTAL FACILITIES</v>
      </c>
      <c r="C100" s="27"/>
      <c r="D100" s="27"/>
      <c r="E100" s="27">
        <f>+E90+E99</f>
        <v>73800</v>
      </c>
      <c r="F100" s="27">
        <f>+F90+F99</f>
        <v>70776</v>
      </c>
      <c r="G100" s="27">
        <f>+G90+G99</f>
        <v>3024</v>
      </c>
      <c r="H100" s="28">
        <f t="shared" si="25"/>
        <v>4.2726347914547304E-2</v>
      </c>
      <c r="J100" s="27">
        <f>+J90+J99</f>
        <v>81689.77</v>
      </c>
      <c r="K100" s="27">
        <f>+K90+K99</f>
        <v>70776</v>
      </c>
      <c r="L100" s="28">
        <f t="shared" si="26"/>
        <v>0.15420156550243025</v>
      </c>
    </row>
    <row r="101" spans="1:12" ht="4.5" customHeight="1">
      <c r="A101" s="43">
        <v>152</v>
      </c>
      <c r="H101" s="39"/>
    </row>
    <row r="102" spans="1:12" ht="18.5">
      <c r="A102" s="43">
        <v>153</v>
      </c>
      <c r="B102" s="7" t="str">
        <f>+'New Year-Full Year'!B180</f>
        <v>Disbursements</v>
      </c>
      <c r="H102" s="39"/>
    </row>
    <row r="103" spans="1:12">
      <c r="A103" s="43">
        <v>154</v>
      </c>
      <c r="B103" s="2" t="str">
        <f>+'New Year-Full Year'!B181</f>
        <v>Restricted Funds</v>
      </c>
      <c r="H103" s="39"/>
    </row>
    <row r="104" spans="1:12">
      <c r="A104" s="43">
        <v>155</v>
      </c>
      <c r="C104" s="1" t="str">
        <f>'New Year-Full Year'!C182</f>
        <v>Operating Fund Reserve</v>
      </c>
      <c r="E104" s="38">
        <f>SUM('New Year-Full Year'!P182:P182)</f>
        <v>0</v>
      </c>
      <c r="F104" s="38">
        <f>SUM('New Year-Full Year'!Q182:Q182)</f>
        <v>0</v>
      </c>
      <c r="G104" s="38">
        <f t="shared" ref="G104:G108" si="27">+E104-F104</f>
        <v>0</v>
      </c>
      <c r="H104" s="4" t="str">
        <f t="shared" ref="H104:H110" si="28">IF(F104=0,"NA",(+E104-F104)/F104)</f>
        <v>NA</v>
      </c>
      <c r="J104" s="38">
        <f>SUM('New Year-Full Year'!U182:U182)</f>
        <v>3000</v>
      </c>
      <c r="K104" s="38">
        <f>SUM('New Year-Full Year'!V182:V182)</f>
        <v>0</v>
      </c>
      <c r="L104" s="4" t="str">
        <f t="shared" ref="L104:L110" si="29">IF(K104=0,"NA",(+J104-K104)/K104)</f>
        <v>NA</v>
      </c>
    </row>
    <row r="105" spans="1:12" hidden="1">
      <c r="C105" s="1" t="str">
        <f>'New Year-Full Year'!C183</f>
        <v>Pastor Transition</v>
      </c>
      <c r="E105" s="38">
        <f>SUM('New Year-Full Year'!P183:P183)</f>
        <v>0</v>
      </c>
      <c r="F105" s="38">
        <f>SUM('New Year-Full Year'!Q183:Q183)</f>
        <v>0</v>
      </c>
      <c r="G105" s="38">
        <f t="shared" si="27"/>
        <v>0</v>
      </c>
      <c r="H105" s="4" t="str">
        <f>IF(F105=0,"NA",(+E105-F105)/F105)</f>
        <v>NA</v>
      </c>
      <c r="J105" s="38">
        <f>SUM('New Year-Full Year'!U183:U183)</f>
        <v>0</v>
      </c>
      <c r="K105" s="38">
        <f>SUM('New Year-Full Year'!V183:V183)</f>
        <v>0</v>
      </c>
      <c r="L105" s="4" t="str">
        <f>IF(K105=0,"NA",(+J105-K105)/K105)</f>
        <v>NA</v>
      </c>
    </row>
    <row r="106" spans="1:12">
      <c r="A106" s="43">
        <v>156</v>
      </c>
      <c r="C106" s="1" t="str">
        <f>'New Year-Full Year'!C184</f>
        <v>Facilities Fund Reserve</v>
      </c>
      <c r="E106" s="38">
        <f>+'New Year-Full Year'!P184</f>
        <v>0</v>
      </c>
      <c r="F106" s="38">
        <f>+'New Year-Full Year'!Q184</f>
        <v>12000</v>
      </c>
      <c r="G106" s="38">
        <f t="shared" si="27"/>
        <v>-12000</v>
      </c>
      <c r="H106" s="4">
        <f t="shared" si="28"/>
        <v>-1</v>
      </c>
      <c r="J106" s="38">
        <f>+'New Year-Full Year'!U184</f>
        <v>15230.02</v>
      </c>
      <c r="K106" s="38">
        <f>+'New Year-Full Year'!V184</f>
        <v>12000</v>
      </c>
      <c r="L106" s="4">
        <f t="shared" si="29"/>
        <v>0.26916833333333334</v>
      </c>
    </row>
    <row r="107" spans="1:12">
      <c r="A107" s="43">
        <v>157</v>
      </c>
      <c r="C107" s="1" t="str">
        <f>'New Year-Full Year'!C185</f>
        <v>Facilities Maintenance</v>
      </c>
      <c r="E107" s="38">
        <f>+'New Year-Full Year'!P185</f>
        <v>16</v>
      </c>
      <c r="F107" s="38">
        <f>+'New Year-Full Year'!Q185</f>
        <v>521</v>
      </c>
      <c r="G107" s="38">
        <f t="shared" si="27"/>
        <v>-505</v>
      </c>
      <c r="H107" s="4">
        <f t="shared" si="28"/>
        <v>-0.96928982725527835</v>
      </c>
      <c r="J107" s="38">
        <f>+'New Year-Full Year'!U185</f>
        <v>6000</v>
      </c>
      <c r="K107" s="38">
        <f>+'New Year-Full Year'!V185</f>
        <v>521</v>
      </c>
      <c r="L107" s="4">
        <f t="shared" si="29"/>
        <v>10.516314779270633</v>
      </c>
    </row>
    <row r="108" spans="1:12">
      <c r="C108" s="1" t="s">
        <v>187</v>
      </c>
      <c r="E108" s="38">
        <f>+'New Year-Full Year'!P186</f>
        <v>0</v>
      </c>
      <c r="F108" s="38">
        <f>+'New Year-Full Year'!Q186</f>
        <v>0</v>
      </c>
      <c r="G108" s="38">
        <f t="shared" si="27"/>
        <v>0</v>
      </c>
      <c r="H108" s="4" t="str">
        <f t="shared" si="28"/>
        <v>NA</v>
      </c>
      <c r="J108" s="38">
        <f>+'New Year-Full Year'!U186</f>
        <v>0</v>
      </c>
      <c r="K108" s="38">
        <f>+'New Year-Full Year'!V186</f>
        <v>0</v>
      </c>
      <c r="L108" s="4" t="str">
        <f t="shared" si="29"/>
        <v>NA</v>
      </c>
    </row>
    <row r="109" spans="1:12" hidden="1">
      <c r="A109" s="43">
        <v>158</v>
      </c>
      <c r="C109" s="1" t="str">
        <f>'New Year-Full Year'!C187</f>
        <v>Line of Credit Payment</v>
      </c>
      <c r="E109" s="38">
        <f>+'New Year-Full Year'!P187</f>
        <v>0</v>
      </c>
      <c r="F109" s="38">
        <f>+'New Year-Full Year'!Q187</f>
        <v>0</v>
      </c>
      <c r="G109" s="38"/>
      <c r="H109" s="4" t="str">
        <f t="shared" si="28"/>
        <v>NA</v>
      </c>
      <c r="J109" s="38">
        <f>+'New Year-Full Year'!U187</f>
        <v>0</v>
      </c>
      <c r="K109" s="38">
        <f>+'New Year-Full Year'!V187</f>
        <v>0</v>
      </c>
      <c r="L109" s="4" t="str">
        <f t="shared" si="29"/>
        <v>NA</v>
      </c>
    </row>
    <row r="110" spans="1:12" s="2" customFormat="1">
      <c r="A110" s="43">
        <v>159</v>
      </c>
      <c r="B110" s="29" t="str">
        <f>+'New Year-Full Year'!B188</f>
        <v>Total Restricted Funds</v>
      </c>
      <c r="C110" s="29"/>
      <c r="D110" s="29"/>
      <c r="E110" s="29">
        <f>SUM(E104:E109)</f>
        <v>16</v>
      </c>
      <c r="F110" s="29">
        <f>SUM(F104:F109)</f>
        <v>12521</v>
      </c>
      <c r="G110" s="29">
        <f>SUM(G104:G109)</f>
        <v>-12505</v>
      </c>
      <c r="H110" s="30">
        <f t="shared" si="28"/>
        <v>-0.99872214679338711</v>
      </c>
      <c r="J110" s="29">
        <f>SUM(J104:J109)</f>
        <v>24230.02</v>
      </c>
      <c r="K110" s="29">
        <f>SUM(K104:K109)</f>
        <v>12521</v>
      </c>
      <c r="L110" s="30">
        <f t="shared" si="29"/>
        <v>0.93515054708090417</v>
      </c>
    </row>
    <row r="111" spans="1:12" ht="7.5" customHeight="1">
      <c r="A111" s="43">
        <v>160</v>
      </c>
      <c r="H111" s="39"/>
    </row>
    <row r="112" spans="1:12">
      <c r="A112" s="43">
        <v>161</v>
      </c>
      <c r="B112" s="31" t="str">
        <f>+'New Year-Full Year'!B190</f>
        <v>TOTAL EXPENSES</v>
      </c>
      <c r="C112" s="32"/>
      <c r="D112" s="32"/>
      <c r="E112" s="31">
        <f>+E71+E100+E110+E26+E79</f>
        <v>500627</v>
      </c>
      <c r="F112" s="31">
        <f>+F71+F100+F110+F26+F79</f>
        <v>513300.38049999997</v>
      </c>
      <c r="G112" s="31">
        <f>+G71+G100+G110+G26+G79</f>
        <v>-12673.38049999997</v>
      </c>
      <c r="H112" s="33">
        <f>IF(F112=0,"NA",(+E112-F112)/F112)</f>
        <v>-2.4689988516382894E-2</v>
      </c>
      <c r="J112" s="31">
        <f>+J71+J100+J110+J26+J79</f>
        <v>526091.91999999993</v>
      </c>
      <c r="K112" s="31">
        <f>+K71+K100+K110+K26+K79</f>
        <v>513300</v>
      </c>
      <c r="L112" s="33">
        <f>IF(K112=0,"NA",(+J112-K112)/K112)</f>
        <v>2.4920942918371179E-2</v>
      </c>
    </row>
    <row r="113" spans="1:12">
      <c r="A113" s="43">
        <v>162</v>
      </c>
      <c r="B113" s="31" t="str">
        <f>+'New Year-Full Year'!B191</f>
        <v>Income less Expense</v>
      </c>
      <c r="C113" s="32"/>
      <c r="D113" s="32"/>
      <c r="E113" s="31">
        <f>ROUND(+E23-E112,0)</f>
        <v>-127</v>
      </c>
      <c r="F113" s="31">
        <f>ROUND(+F23-F112,0)</f>
        <v>0</v>
      </c>
      <c r="G113" s="31">
        <f>ROUND(+G23-G112,0)</f>
        <v>-127</v>
      </c>
      <c r="H113" s="33" t="str">
        <f>IF(F113=0,"NA",(+E113-F113)/F113)</f>
        <v>NA</v>
      </c>
      <c r="J113" s="31">
        <f>ROUND(+J23-J112,0)</f>
        <v>0</v>
      </c>
      <c r="K113" s="31">
        <f>ROUND(+K23-K112,0)</f>
        <v>0</v>
      </c>
      <c r="L113" s="33" t="str">
        <f>IF(K113=0,"NA",(+J113-K113)/K113)</f>
        <v>NA</v>
      </c>
    </row>
    <row r="114" spans="1:12" ht="7.25" customHeight="1" thickBot="1">
      <c r="H114" s="39"/>
    </row>
    <row r="115" spans="1:12">
      <c r="B115" s="107" t="str">
        <f>+'New Year-Full Year'!B193</f>
        <v>Operating Income (Envelope Giving)</v>
      </c>
      <c r="C115" s="108"/>
      <c r="D115" s="108"/>
      <c r="E115" s="124">
        <f>+E23-E21</f>
        <v>500500</v>
      </c>
      <c r="F115" s="124">
        <f>+F23-F21</f>
        <v>513300</v>
      </c>
      <c r="G115" s="124">
        <f>+G23-G21</f>
        <v>-12800</v>
      </c>
      <c r="H115" s="112">
        <f>IF(F115=0,"NA",(+E115-F115)/F115)</f>
        <v>-2.4936684200272743E-2</v>
      </c>
      <c r="I115" s="109"/>
      <c r="J115" s="124">
        <f>+J23-J21</f>
        <v>526091.92000000004</v>
      </c>
      <c r="K115" s="124">
        <f>+K23-K21</f>
        <v>513300</v>
      </c>
      <c r="L115" s="113">
        <f>IF(K115=0,"NA",(+J115-K115)/K115)</f>
        <v>2.4920942918371405E-2</v>
      </c>
    </row>
    <row r="116" spans="1:12">
      <c r="B116" s="114" t="str">
        <f>+'New Year-Full Year'!B194</f>
        <v>Operating Expenses</v>
      </c>
      <c r="C116" s="102"/>
      <c r="D116" s="102"/>
      <c r="E116" s="125">
        <f>+E112-E110</f>
        <v>500611</v>
      </c>
      <c r="F116" s="125">
        <f>+F112-F110</f>
        <v>500779.38049999997</v>
      </c>
      <c r="G116" s="125">
        <f>+G112-G110</f>
        <v>-168.3804999999702</v>
      </c>
      <c r="H116" s="106">
        <f>IF(F116=0,"NA",(+E116-F116)/F116)</f>
        <v>-3.3623688705363981E-4</v>
      </c>
      <c r="I116" s="103"/>
      <c r="J116" s="125">
        <f>+J112-J110</f>
        <v>501861.89999999991</v>
      </c>
      <c r="K116" s="125">
        <f>+K112-K110</f>
        <v>500779</v>
      </c>
      <c r="L116" s="115">
        <f>IF(K116=0,"NA",(+J116-K116)/K116)</f>
        <v>2.1624309326068124E-3</v>
      </c>
    </row>
    <row r="117" spans="1:12" ht="15" thickBot="1">
      <c r="B117" s="116" t="str">
        <f>+'New Year-Full Year'!B195</f>
        <v>Net Operating Income/(Loss)</v>
      </c>
      <c r="C117" s="117"/>
      <c r="D117" s="117"/>
      <c r="E117" s="126">
        <f>+E115-E116</f>
        <v>-111</v>
      </c>
      <c r="F117" s="126">
        <f>+F115-F116</f>
        <v>12520.61950000003</v>
      </c>
      <c r="G117" s="126">
        <f>+G115-G116</f>
        <v>-12631.61950000003</v>
      </c>
      <c r="H117" s="122">
        <f>IF(F117=0,"NA",(+E117-F117)/F117)</f>
        <v>-1.0088653760303155</v>
      </c>
      <c r="I117" s="119"/>
      <c r="J117" s="126">
        <f>+J115-J116</f>
        <v>24230.020000000135</v>
      </c>
      <c r="K117" s="126">
        <f>+K115-K116</f>
        <v>12521</v>
      </c>
      <c r="L117" s="123">
        <f>IF(K117=0,"NA",(+J117-K117)/K117)</f>
        <v>0.93515054708091483</v>
      </c>
    </row>
    <row r="118" spans="1:12" ht="5" customHeight="1">
      <c r="H118" s="39"/>
    </row>
    <row r="119" spans="1:12">
      <c r="A119" s="1"/>
      <c r="B119" s="69" t="s">
        <v>448</v>
      </c>
      <c r="C119" s="610"/>
      <c r="D119" s="610"/>
      <c r="E119" s="610"/>
      <c r="F119" s="610"/>
      <c r="G119" s="616"/>
      <c r="H119" s="610"/>
      <c r="I119" s="610"/>
      <c r="J119" s="610"/>
      <c r="K119" s="610"/>
      <c r="L119" s="610"/>
    </row>
    <row r="120" spans="1:12">
      <c r="A120" s="1"/>
      <c r="B120" s="69" t="s">
        <v>469</v>
      </c>
      <c r="C120" s="610"/>
      <c r="D120" s="610"/>
      <c r="E120" s="610"/>
      <c r="F120" s="610"/>
      <c r="G120" s="616"/>
      <c r="H120" s="610"/>
      <c r="I120" s="610"/>
      <c r="J120" s="610"/>
      <c r="K120" s="610"/>
      <c r="L120" s="610"/>
    </row>
  </sheetData>
  <mergeCells count="13">
    <mergeCell ref="C78:D78"/>
    <mergeCell ref="B1:L1"/>
    <mergeCell ref="B2:L2"/>
    <mergeCell ref="J3:L3"/>
    <mergeCell ref="E3:H3"/>
    <mergeCell ref="C75:D75"/>
    <mergeCell ref="B29:D29"/>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AK243"/>
  <sheetViews>
    <sheetView showGridLines="0" topLeftCell="B3" workbookViewId="0">
      <pane xSplit="14" ySplit="2" topLeftCell="P117" activePane="bottomRight" state="frozen"/>
      <selection activeCell="I112" sqref="I112"/>
      <selection pane="topRight" activeCell="I112" sqref="I112"/>
      <selection pane="bottomLeft" activeCell="I112" sqref="I112"/>
      <selection pane="bottomRight" activeCell="P185" sqref="P185"/>
    </sheetView>
  </sheetViews>
  <sheetFormatPr defaultColWidth="9.08984375" defaultRowHeight="14.5" outlineLevelCol="2"/>
  <cols>
    <col min="1" max="1" width="4.453125" style="43" hidden="1" customWidth="1"/>
    <col min="2" max="2" width="4.36328125" style="2" customWidth="1"/>
    <col min="3" max="3" width="9.08984375" style="1"/>
    <col min="4" max="4" width="21.1796875" style="51" customWidth="1"/>
    <col min="5" max="5" width="11.54296875" style="81" hidden="1" customWidth="1" outlineLevel="1"/>
    <col min="6" max="6" width="11.36328125" style="39" hidden="1" customWidth="1" outlineLevel="1"/>
    <col min="7" max="7" width="8.6328125" style="39" hidden="1" customWidth="1" outlineLevel="1"/>
    <col min="8" max="8" width="10" style="39" hidden="1" customWidth="1" outlineLevel="1"/>
    <col min="9" max="9" width="10.6328125" style="39" hidden="1" customWidth="1" outlineLevel="2"/>
    <col min="10" max="10" width="8.08984375" style="39" hidden="1" customWidth="1" outlineLevel="2"/>
    <col min="11" max="11" width="10.36328125" style="39" hidden="1" customWidth="1" outlineLevel="2"/>
    <col min="12" max="12" width="7.08984375" style="39" hidden="1" customWidth="1" outlineLevel="2"/>
    <col min="13" max="14" width="8.36328125" style="39" hidden="1" customWidth="1" outlineLevel="2"/>
    <col min="15" max="15" width="9.6328125" style="1" hidden="1" customWidth="1" outlineLevel="1" collapsed="1"/>
    <col min="16" max="16" width="11.08984375" style="1" customWidth="1" collapsed="1"/>
    <col min="17" max="17" width="11.08984375" style="1" customWidth="1"/>
    <col min="18" max="18" width="10.54296875" style="1" customWidth="1"/>
    <col min="19" max="19" width="9.36328125" style="1" customWidth="1"/>
    <col min="20" max="20" width="2.6328125" style="1" customWidth="1"/>
    <col min="21" max="21" width="10.90625" style="1" customWidth="1"/>
    <col min="22" max="22" width="10.453125" style="1" customWidth="1"/>
    <col min="23" max="23" width="9" style="5" customWidth="1"/>
    <col min="24" max="24" width="76.6328125" style="56" customWidth="1"/>
    <col min="25" max="25" width="58.6328125" style="36" hidden="1" customWidth="1"/>
    <col min="26" max="26" width="9.54296875" style="1" bestFit="1" customWidth="1"/>
    <col min="27" max="27" width="9.6328125" style="1" customWidth="1" outlineLevel="1"/>
    <col min="28" max="29" width="9.08984375" style="1" customWidth="1" outlineLevel="1"/>
    <col min="30" max="37" width="14.6328125" style="1" customWidth="1" outlineLevel="1"/>
    <col min="38" max="16384" width="9.08984375" style="1"/>
  </cols>
  <sheetData>
    <row r="1" spans="1:37" ht="41.25" customHeight="1">
      <c r="B1" s="636" t="s">
        <v>87</v>
      </c>
      <c r="C1" s="636"/>
      <c r="D1" s="636"/>
      <c r="E1" s="636"/>
      <c r="F1" s="636"/>
      <c r="G1" s="636"/>
      <c r="H1" s="636"/>
      <c r="I1" s="636"/>
      <c r="J1" s="636"/>
      <c r="K1" s="636"/>
      <c r="L1" s="636"/>
      <c r="M1" s="636"/>
      <c r="N1" s="636"/>
      <c r="O1" s="636"/>
      <c r="P1" s="636"/>
      <c r="Q1" s="636"/>
      <c r="R1" s="636"/>
      <c r="S1" s="636"/>
      <c r="T1" s="636"/>
      <c r="U1" s="636"/>
      <c r="V1" s="636"/>
      <c r="W1" s="636"/>
      <c r="X1" s="636"/>
      <c r="Y1" s="1"/>
    </row>
    <row r="2" spans="1:37" ht="23.25" customHeight="1">
      <c r="P2" s="641" t="s">
        <v>86</v>
      </c>
      <c r="Q2" s="642"/>
      <c r="R2" s="642"/>
      <c r="S2" s="643"/>
      <c r="U2" s="667" t="str">
        <f>Bud_Yr-1&amp;" Year to Date (YTD)"</f>
        <v>2019 Year to Date (YTD)</v>
      </c>
      <c r="V2" s="668"/>
      <c r="W2" s="669"/>
    </row>
    <row r="3" spans="1:37" ht="27.65" customHeight="1">
      <c r="P3" s="676" t="str">
        <f>Bud_Yr&amp;" Budget"</f>
        <v>2020 Budget</v>
      </c>
      <c r="Q3" s="677" t="str">
        <f>Bud_Yr-1&amp;" Budget"</f>
        <v>2019 Budget</v>
      </c>
      <c r="R3" s="670" t="str">
        <f>Bud_Yr&amp;" Budget vs             "&amp;Bud_Yr-1&amp;" Budget"</f>
        <v>2020 Budget vs             2019 Budget</v>
      </c>
      <c r="S3" s="671"/>
      <c r="T3" s="51"/>
      <c r="U3" s="672" t="s">
        <v>474</v>
      </c>
      <c r="V3" s="674" t="s">
        <v>475</v>
      </c>
      <c r="W3" s="651" t="s">
        <v>85</v>
      </c>
      <c r="AD3" s="663" t="str">
        <f>Bud_Yr&amp;" Budget"</f>
        <v>2020 Budget</v>
      </c>
      <c r="AE3" s="664"/>
      <c r="AF3" s="664"/>
      <c r="AG3" s="665"/>
      <c r="AH3" s="663" t="str">
        <f>+U3</f>
        <v>Dec YTD Actual</v>
      </c>
      <c r="AI3" s="664"/>
      <c r="AJ3" s="664"/>
      <c r="AK3" s="665"/>
    </row>
    <row r="4" spans="1:37" s="2" customFormat="1">
      <c r="A4" s="44"/>
      <c r="D4" s="15"/>
      <c r="E4" s="82"/>
      <c r="F4" s="83"/>
      <c r="G4" s="83"/>
      <c r="H4" s="83"/>
      <c r="I4" s="83"/>
      <c r="J4" s="83"/>
      <c r="K4" s="83"/>
      <c r="L4" s="83"/>
      <c r="M4" s="83"/>
      <c r="N4" s="83"/>
      <c r="P4" s="663"/>
      <c r="Q4" s="664"/>
      <c r="R4" s="50" t="s">
        <v>113</v>
      </c>
      <c r="S4" s="52" t="s">
        <v>114</v>
      </c>
      <c r="U4" s="673"/>
      <c r="V4" s="675"/>
      <c r="W4" s="652"/>
      <c r="X4" s="57" t="str">
        <f>Bud_Yr&amp;" Budget Notes"</f>
        <v>2020 Budget Notes</v>
      </c>
      <c r="Y4" s="6" t="s">
        <v>115</v>
      </c>
      <c r="AD4" s="419" t="s">
        <v>472</v>
      </c>
      <c r="AE4" s="420" t="s">
        <v>329</v>
      </c>
      <c r="AF4" s="420" t="s">
        <v>330</v>
      </c>
      <c r="AG4" s="420" t="s">
        <v>331</v>
      </c>
      <c r="AH4" s="419" t="s">
        <v>472</v>
      </c>
      <c r="AI4" s="420" t="s">
        <v>329</v>
      </c>
      <c r="AJ4" s="420" t="s">
        <v>330</v>
      </c>
      <c r="AK4" s="420" t="s">
        <v>331</v>
      </c>
    </row>
    <row r="5" spans="1:37" s="2" customFormat="1" ht="18.5">
      <c r="A5" s="44"/>
      <c r="B5" s="7" t="s">
        <v>0</v>
      </c>
      <c r="D5" s="15"/>
      <c r="E5" s="82"/>
      <c r="F5" s="83"/>
      <c r="G5" s="83"/>
      <c r="H5" s="83"/>
      <c r="I5" s="83"/>
      <c r="J5" s="83"/>
      <c r="K5" s="83"/>
      <c r="L5" s="83"/>
      <c r="M5" s="83"/>
      <c r="N5" s="83"/>
      <c r="P5" s="8"/>
      <c r="Q5" s="9"/>
      <c r="R5" s="40"/>
      <c r="S5" s="9"/>
      <c r="U5" s="9"/>
      <c r="V5" s="9"/>
      <c r="W5" s="9"/>
      <c r="X5" s="73"/>
      <c r="Y5" s="58"/>
    </row>
    <row r="6" spans="1:37">
      <c r="A6" s="43">
        <v>1</v>
      </c>
      <c r="B6" s="2" t="s">
        <v>1</v>
      </c>
      <c r="X6" s="74"/>
      <c r="Y6" s="72"/>
    </row>
    <row r="7" spans="1:37" ht="29">
      <c r="A7" s="43">
        <v>2</v>
      </c>
      <c r="C7" s="256" t="s">
        <v>1</v>
      </c>
      <c r="D7" s="268"/>
      <c r="E7" s="269"/>
      <c r="F7" s="270"/>
      <c r="G7" s="270"/>
      <c r="H7" s="270"/>
      <c r="I7" s="270"/>
      <c r="J7" s="270"/>
      <c r="K7" s="270"/>
      <c r="L7" s="270"/>
      <c r="M7" s="270"/>
      <c r="N7" s="270"/>
      <c r="O7" s="256"/>
      <c r="P7" s="281">
        <f>475000+2000</f>
        <v>477000</v>
      </c>
      <c r="Q7" s="253">
        <v>490000</v>
      </c>
      <c r="R7" s="254">
        <f t="shared" ref="R7:R12" si="0">+P7-Q7</f>
        <v>-13000</v>
      </c>
      <c r="S7" s="255">
        <f t="shared" ref="S7:S13" si="1">IF(Q7=0,"NA",(+P7-Q7)/Q7)</f>
        <v>-2.6530612244897958E-2</v>
      </c>
      <c r="T7" s="256"/>
      <c r="U7" s="253">
        <v>496982.31</v>
      </c>
      <c r="V7" s="253">
        <v>490000</v>
      </c>
      <c r="W7" s="255">
        <f t="shared" ref="W7:W13" si="2">IF(V7=0,"NA",(+U7-V7)/V7)</f>
        <v>1.4249612244897954E-2</v>
      </c>
      <c r="X7" s="257" t="s">
        <v>364</v>
      </c>
      <c r="Y7" s="59" t="s">
        <v>123</v>
      </c>
    </row>
    <row r="8" spans="1:37">
      <c r="C8" s="261" t="s">
        <v>476</v>
      </c>
      <c r="D8" s="271"/>
      <c r="E8" s="272"/>
      <c r="F8" s="273"/>
      <c r="G8" s="273"/>
      <c r="H8" s="273"/>
      <c r="I8" s="273"/>
      <c r="J8" s="273"/>
      <c r="K8" s="273"/>
      <c r="L8" s="273"/>
      <c r="M8" s="273"/>
      <c r="N8" s="273"/>
      <c r="O8" s="261"/>
      <c r="P8" s="258">
        <v>0</v>
      </c>
      <c r="Q8" s="258">
        <v>0</v>
      </c>
      <c r="R8" s="259">
        <f t="shared" si="0"/>
        <v>0</v>
      </c>
      <c r="S8" s="260" t="str">
        <f t="shared" si="1"/>
        <v>NA</v>
      </c>
      <c r="T8" s="261"/>
      <c r="U8" s="258">
        <v>128</v>
      </c>
      <c r="V8" s="258">
        <v>0</v>
      </c>
      <c r="W8" s="260" t="str">
        <f>IF(V8=0,"NA",(+U8-V8)/V8)</f>
        <v>NA</v>
      </c>
      <c r="X8" s="257"/>
      <c r="Y8" s="59"/>
    </row>
    <row r="9" spans="1:37">
      <c r="A9" s="43">
        <v>4</v>
      </c>
      <c r="C9" s="261" t="s">
        <v>2</v>
      </c>
      <c r="D9" s="271"/>
      <c r="E9" s="272"/>
      <c r="F9" s="273"/>
      <c r="G9" s="273"/>
      <c r="H9" s="273"/>
      <c r="I9" s="273"/>
      <c r="J9" s="273"/>
      <c r="K9" s="273"/>
      <c r="L9" s="273"/>
      <c r="M9" s="273"/>
      <c r="N9" s="273"/>
      <c r="O9" s="261"/>
      <c r="P9" s="258">
        <v>3500</v>
      </c>
      <c r="Q9" s="258">
        <v>3500</v>
      </c>
      <c r="R9" s="259">
        <f t="shared" si="0"/>
        <v>0</v>
      </c>
      <c r="S9" s="260">
        <f t="shared" si="1"/>
        <v>0</v>
      </c>
      <c r="T9" s="261"/>
      <c r="U9" s="258">
        <v>3659</v>
      </c>
      <c r="V9" s="258">
        <v>3500</v>
      </c>
      <c r="W9" s="260">
        <f t="shared" si="2"/>
        <v>4.5428571428571429E-2</v>
      </c>
      <c r="X9" s="262"/>
      <c r="Y9" s="59"/>
    </row>
    <row r="10" spans="1:37">
      <c r="A10" s="43">
        <v>5</v>
      </c>
      <c r="C10" s="261" t="s">
        <v>3</v>
      </c>
      <c r="D10" s="271"/>
      <c r="E10" s="272"/>
      <c r="F10" s="273"/>
      <c r="G10" s="273"/>
      <c r="H10" s="273"/>
      <c r="I10" s="273"/>
      <c r="J10" s="273"/>
      <c r="K10" s="273"/>
      <c r="L10" s="273"/>
      <c r="M10" s="273"/>
      <c r="N10" s="273"/>
      <c r="O10" s="261"/>
      <c r="P10" s="258">
        <v>1000</v>
      </c>
      <c r="Q10" s="258">
        <v>1000</v>
      </c>
      <c r="R10" s="259">
        <f t="shared" si="0"/>
        <v>0</v>
      </c>
      <c r="S10" s="260">
        <f t="shared" si="1"/>
        <v>0</v>
      </c>
      <c r="T10" s="261"/>
      <c r="U10" s="258">
        <v>1248</v>
      </c>
      <c r="V10" s="258">
        <v>1000</v>
      </c>
      <c r="W10" s="260">
        <f t="shared" si="2"/>
        <v>0.248</v>
      </c>
      <c r="X10" s="262" t="s">
        <v>453</v>
      </c>
      <c r="Y10" s="59"/>
    </row>
    <row r="11" spans="1:37">
      <c r="A11" s="43">
        <v>6</v>
      </c>
      <c r="C11" s="261" t="s">
        <v>4</v>
      </c>
      <c r="D11" s="271"/>
      <c r="E11" s="272"/>
      <c r="F11" s="273"/>
      <c r="G11" s="273"/>
      <c r="H11" s="273"/>
      <c r="I11" s="273"/>
      <c r="J11" s="273"/>
      <c r="K11" s="273"/>
      <c r="L11" s="273"/>
      <c r="M11" s="273"/>
      <c r="N11" s="273"/>
      <c r="O11" s="261"/>
      <c r="P11" s="258">
        <v>5000</v>
      </c>
      <c r="Q11" s="258">
        <v>5000</v>
      </c>
      <c r="R11" s="259">
        <f t="shared" si="0"/>
        <v>0</v>
      </c>
      <c r="S11" s="260">
        <f t="shared" si="1"/>
        <v>0</v>
      </c>
      <c r="T11" s="261"/>
      <c r="U11" s="258">
        <v>4642</v>
      </c>
      <c r="V11" s="258">
        <v>5000</v>
      </c>
      <c r="W11" s="260">
        <f t="shared" si="2"/>
        <v>-7.1599999999999997E-2</v>
      </c>
      <c r="X11" s="262"/>
      <c r="Y11" s="59"/>
    </row>
    <row r="12" spans="1:37">
      <c r="A12" s="43">
        <v>7</v>
      </c>
      <c r="C12" s="261" t="s">
        <v>5</v>
      </c>
      <c r="D12" s="271"/>
      <c r="E12" s="272"/>
      <c r="F12" s="273"/>
      <c r="G12" s="273"/>
      <c r="H12" s="273"/>
      <c r="I12" s="273"/>
      <c r="J12" s="273"/>
      <c r="K12" s="273"/>
      <c r="L12" s="273"/>
      <c r="M12" s="273"/>
      <c r="N12" s="273"/>
      <c r="O12" s="261"/>
      <c r="P12" s="258">
        <v>3000</v>
      </c>
      <c r="Q12" s="258">
        <v>2800</v>
      </c>
      <c r="R12" s="259">
        <f t="shared" si="0"/>
        <v>200</v>
      </c>
      <c r="S12" s="260">
        <f t="shared" si="1"/>
        <v>7.1428571428571425E-2</v>
      </c>
      <c r="T12" s="261"/>
      <c r="U12" s="258">
        <v>3148</v>
      </c>
      <c r="V12" s="258">
        <v>2800</v>
      </c>
      <c r="W12" s="260">
        <f t="shared" si="2"/>
        <v>0.12428571428571429</v>
      </c>
      <c r="X12" s="262"/>
      <c r="Y12" s="59"/>
    </row>
    <row r="13" spans="1:37">
      <c r="A13" s="43">
        <v>8</v>
      </c>
      <c r="B13" s="10" t="s">
        <v>6</v>
      </c>
      <c r="C13" s="10"/>
      <c r="D13" s="10"/>
      <c r="E13" s="84"/>
      <c r="F13" s="84"/>
      <c r="G13" s="84"/>
      <c r="H13" s="84"/>
      <c r="I13" s="84"/>
      <c r="J13" s="84"/>
      <c r="K13" s="84"/>
      <c r="L13" s="84"/>
      <c r="M13" s="84"/>
      <c r="N13" s="84"/>
      <c r="O13" s="10"/>
      <c r="P13" s="10">
        <f>SUM(P7:P12)</f>
        <v>489500</v>
      </c>
      <c r="Q13" s="10">
        <f>SUM(Q7:Q12)</f>
        <v>502300</v>
      </c>
      <c r="R13" s="10">
        <f>SUM(R7:R12)</f>
        <v>-12800</v>
      </c>
      <c r="S13" s="11">
        <f t="shared" si="1"/>
        <v>-2.5482779215608202E-2</v>
      </c>
      <c r="U13" s="10">
        <f>SUM(U7:U12)</f>
        <v>509807.31</v>
      </c>
      <c r="V13" s="10">
        <f>SUM(V7:V12)</f>
        <v>502300</v>
      </c>
      <c r="W13" s="11">
        <f t="shared" si="2"/>
        <v>1.494586900258809E-2</v>
      </c>
      <c r="X13" s="75"/>
      <c r="Y13" s="60"/>
    </row>
    <row r="14" spans="1:37" ht="5.25" customHeight="1">
      <c r="A14" s="43">
        <v>9</v>
      </c>
      <c r="S14" s="5"/>
      <c r="X14" s="75"/>
      <c r="Y14" s="60"/>
    </row>
    <row r="15" spans="1:37">
      <c r="A15" s="43">
        <v>10</v>
      </c>
      <c r="B15" s="2" t="s">
        <v>7</v>
      </c>
      <c r="S15" s="5"/>
      <c r="X15" s="75"/>
      <c r="Y15" s="60"/>
    </row>
    <row r="16" spans="1:37">
      <c r="A16" s="43">
        <v>11</v>
      </c>
      <c r="C16" s="256" t="s">
        <v>452</v>
      </c>
      <c r="D16" s="268"/>
      <c r="E16" s="269"/>
      <c r="F16" s="270"/>
      <c r="G16" s="270"/>
      <c r="H16" s="270"/>
      <c r="I16" s="270"/>
      <c r="J16" s="270"/>
      <c r="K16" s="270"/>
      <c r="L16" s="270"/>
      <c r="M16" s="270"/>
      <c r="N16" s="270"/>
      <c r="O16" s="256"/>
      <c r="P16" s="253">
        <v>11000</v>
      </c>
      <c r="Q16" s="253">
        <v>11000</v>
      </c>
      <c r="R16" s="254">
        <f>+P16-Q16</f>
        <v>0</v>
      </c>
      <c r="S16" s="255">
        <f t="shared" ref="S16:S22" si="3">IF(Q16=0,"NA",(+P16-Q16)/Q16)</f>
        <v>0</v>
      </c>
      <c r="T16" s="256"/>
      <c r="U16" s="253">
        <f>10184.33+6096.5</f>
        <v>16280.83</v>
      </c>
      <c r="V16" s="253">
        <v>11000</v>
      </c>
      <c r="W16" s="255">
        <f t="shared" ref="W16:W22" si="4">IF(V16=0,"NA",(+U16-V16)/V16)</f>
        <v>0.48007545454545453</v>
      </c>
      <c r="X16" s="257"/>
      <c r="Y16" s="59"/>
    </row>
    <row r="17" spans="1:37" hidden="1">
      <c r="A17" s="43">
        <v>12</v>
      </c>
      <c r="C17" s="261" t="s">
        <v>7</v>
      </c>
      <c r="D17" s="271"/>
      <c r="E17" s="272"/>
      <c r="F17" s="273"/>
      <c r="G17" s="273"/>
      <c r="H17" s="273"/>
      <c r="I17" s="273"/>
      <c r="J17" s="273"/>
      <c r="K17" s="273"/>
      <c r="L17" s="273"/>
      <c r="M17" s="273"/>
      <c r="N17" s="273"/>
      <c r="O17" s="261"/>
      <c r="P17" s="258">
        <v>0</v>
      </c>
      <c r="Q17" s="258">
        <v>0</v>
      </c>
      <c r="R17" s="259">
        <f>+P17-Q17</f>
        <v>0</v>
      </c>
      <c r="S17" s="260" t="str">
        <f t="shared" si="3"/>
        <v>NA</v>
      </c>
      <c r="T17" s="261"/>
      <c r="U17" s="258">
        <v>0</v>
      </c>
      <c r="V17" s="258">
        <v>0</v>
      </c>
      <c r="W17" s="260" t="str">
        <f t="shared" si="4"/>
        <v>NA</v>
      </c>
      <c r="X17" s="277"/>
      <c r="Y17" s="60"/>
    </row>
    <row r="18" spans="1:37" hidden="1">
      <c r="A18" s="43">
        <v>13</v>
      </c>
      <c r="C18" s="261" t="s">
        <v>8</v>
      </c>
      <c r="D18" s="271"/>
      <c r="E18" s="272"/>
      <c r="F18" s="273"/>
      <c r="G18" s="273"/>
      <c r="H18" s="273"/>
      <c r="I18" s="273"/>
      <c r="J18" s="273"/>
      <c r="K18" s="273"/>
      <c r="L18" s="273"/>
      <c r="M18" s="273"/>
      <c r="N18" s="273"/>
      <c r="O18" s="261"/>
      <c r="P18" s="258">
        <v>0</v>
      </c>
      <c r="Q18" s="258">
        <v>0</v>
      </c>
      <c r="R18" s="259">
        <f>+P18-Q18</f>
        <v>0</v>
      </c>
      <c r="S18" s="260" t="str">
        <f t="shared" si="3"/>
        <v>NA</v>
      </c>
      <c r="T18" s="261"/>
      <c r="U18" s="258">
        <v>0</v>
      </c>
      <c r="V18" s="258">
        <v>0</v>
      </c>
      <c r="W18" s="260" t="str">
        <f t="shared" si="4"/>
        <v>NA</v>
      </c>
      <c r="X18" s="277"/>
      <c r="Y18" s="60"/>
    </row>
    <row r="19" spans="1:37">
      <c r="A19" s="43">
        <v>14</v>
      </c>
      <c r="C19" s="261" t="s">
        <v>10</v>
      </c>
      <c r="D19" s="271"/>
      <c r="E19" s="272"/>
      <c r="F19" s="273"/>
      <c r="G19" s="273"/>
      <c r="H19" s="273"/>
      <c r="I19" s="273"/>
      <c r="J19" s="273"/>
      <c r="K19" s="273"/>
      <c r="L19" s="273"/>
      <c r="M19" s="273"/>
      <c r="N19" s="273"/>
      <c r="O19" s="261"/>
      <c r="P19" s="258">
        <v>0</v>
      </c>
      <c r="Q19" s="258">
        <v>0</v>
      </c>
      <c r="R19" s="259">
        <f>+P19-Q19</f>
        <v>0</v>
      </c>
      <c r="S19" s="260" t="str">
        <f t="shared" si="3"/>
        <v>NA</v>
      </c>
      <c r="T19" s="261"/>
      <c r="U19" s="258">
        <v>3.78</v>
      </c>
      <c r="V19" s="258">
        <v>0</v>
      </c>
      <c r="W19" s="260" t="str">
        <f t="shared" si="4"/>
        <v>NA</v>
      </c>
      <c r="X19" s="277"/>
      <c r="Y19" s="60"/>
    </row>
    <row r="20" spans="1:37" hidden="1">
      <c r="A20" s="43">
        <v>15</v>
      </c>
      <c r="C20" s="266" t="s">
        <v>95</v>
      </c>
      <c r="D20" s="274"/>
      <c r="E20" s="275"/>
      <c r="F20" s="276"/>
      <c r="G20" s="276"/>
      <c r="H20" s="276"/>
      <c r="I20" s="276"/>
      <c r="J20" s="276"/>
      <c r="K20" s="276"/>
      <c r="L20" s="276"/>
      <c r="M20" s="276"/>
      <c r="N20" s="276"/>
      <c r="O20" s="266"/>
      <c r="P20" s="263">
        <v>0</v>
      </c>
      <c r="Q20" s="263">
        <v>0</v>
      </c>
      <c r="R20" s="264">
        <f>+P20-Q20</f>
        <v>0</v>
      </c>
      <c r="S20" s="265" t="str">
        <f t="shared" si="3"/>
        <v>NA</v>
      </c>
      <c r="T20" s="266"/>
      <c r="U20" s="263">
        <v>0</v>
      </c>
      <c r="V20" s="263">
        <v>0</v>
      </c>
      <c r="W20" s="265" t="str">
        <f t="shared" si="4"/>
        <v>NA</v>
      </c>
      <c r="X20" s="278"/>
      <c r="Y20" s="60"/>
    </row>
    <row r="21" spans="1:37">
      <c r="A21" s="43">
        <v>16</v>
      </c>
      <c r="B21" s="10" t="s">
        <v>9</v>
      </c>
      <c r="C21" s="10"/>
      <c r="D21" s="10"/>
      <c r="E21" s="84"/>
      <c r="F21" s="84"/>
      <c r="G21" s="84"/>
      <c r="H21" s="84"/>
      <c r="I21" s="84"/>
      <c r="J21" s="84"/>
      <c r="K21" s="84"/>
      <c r="L21" s="84"/>
      <c r="M21" s="84"/>
      <c r="N21" s="84"/>
      <c r="O21" s="10"/>
      <c r="P21" s="10">
        <f>SUM(P16:P20)</f>
        <v>11000</v>
      </c>
      <c r="Q21" s="10">
        <f>SUM(Q16:Q20)</f>
        <v>11000</v>
      </c>
      <c r="R21" s="10">
        <f>SUM(R16:R20)</f>
        <v>0</v>
      </c>
      <c r="S21" s="11">
        <f t="shared" si="3"/>
        <v>0</v>
      </c>
      <c r="U21" s="10">
        <f>SUM(U16:U20)</f>
        <v>16284.61</v>
      </c>
      <c r="V21" s="10">
        <f>SUM(V16:V20)</f>
        <v>11000</v>
      </c>
      <c r="W21" s="11">
        <f t="shared" si="4"/>
        <v>0.48041909090909096</v>
      </c>
      <c r="X21" s="75"/>
      <c r="Y21" s="60"/>
    </row>
    <row r="22" spans="1:37">
      <c r="A22" s="43">
        <v>17</v>
      </c>
      <c r="B22" s="10" t="s">
        <v>11</v>
      </c>
      <c r="C22" s="10"/>
      <c r="D22" s="10"/>
      <c r="E22" s="84"/>
      <c r="F22" s="84"/>
      <c r="G22" s="84"/>
      <c r="H22" s="84"/>
      <c r="I22" s="84"/>
      <c r="J22" s="84"/>
      <c r="K22" s="84"/>
      <c r="L22" s="84"/>
      <c r="M22" s="84"/>
      <c r="N22" s="84"/>
      <c r="O22" s="10"/>
      <c r="P22" s="10">
        <f>+P13+P21</f>
        <v>500500</v>
      </c>
      <c r="Q22" s="10">
        <f>+Q13+Q21</f>
        <v>513300</v>
      </c>
      <c r="R22" s="10">
        <f>+R13+R21</f>
        <v>-12800</v>
      </c>
      <c r="S22" s="11">
        <f t="shared" si="3"/>
        <v>-2.4936684200272743E-2</v>
      </c>
      <c r="U22" s="10">
        <f>+U13+U21</f>
        <v>526091.92000000004</v>
      </c>
      <c r="V22" s="10">
        <f>+V13+V21</f>
        <v>513300</v>
      </c>
      <c r="W22" s="11">
        <f t="shared" si="4"/>
        <v>2.4920942918371405E-2</v>
      </c>
      <c r="X22" s="75"/>
      <c r="Y22" s="60"/>
    </row>
    <row r="23" spans="1:37" ht="6" customHeight="1">
      <c r="A23" s="43">
        <v>18</v>
      </c>
      <c r="S23" s="5"/>
      <c r="X23" s="75"/>
      <c r="Y23" s="60"/>
    </row>
    <row r="24" spans="1:37" ht="18.5">
      <c r="A24" s="43">
        <v>19</v>
      </c>
      <c r="B24" s="7" t="s">
        <v>12</v>
      </c>
      <c r="S24" s="5"/>
      <c r="X24" s="75"/>
      <c r="Y24" s="60"/>
    </row>
    <row r="25" spans="1:37" ht="18.5">
      <c r="A25" s="43">
        <v>20</v>
      </c>
      <c r="B25" s="7" t="s">
        <v>92</v>
      </c>
      <c r="S25" s="5"/>
      <c r="X25" s="75"/>
      <c r="Y25" s="60"/>
    </row>
    <row r="26" spans="1:37" hidden="1">
      <c r="A26" s="43">
        <v>21</v>
      </c>
      <c r="C26" s="1" t="s">
        <v>13</v>
      </c>
      <c r="P26" s="1">
        <f>+P22</f>
        <v>500500</v>
      </c>
      <c r="Q26" s="1">
        <f>+Q22</f>
        <v>513300</v>
      </c>
      <c r="R26" s="38">
        <f>+P26-Q26</f>
        <v>-12800</v>
      </c>
      <c r="S26" s="5"/>
      <c r="X26" s="75"/>
      <c r="Y26" s="60"/>
    </row>
    <row r="27" spans="1:37" hidden="1">
      <c r="A27" s="43">
        <v>23</v>
      </c>
      <c r="C27" s="1" t="s">
        <v>14</v>
      </c>
      <c r="P27" s="38">
        <f>-P187</f>
        <v>0</v>
      </c>
      <c r="Q27" s="38">
        <f>-Q187</f>
        <v>0</v>
      </c>
      <c r="R27" s="38">
        <f>+P27-Q27</f>
        <v>0</v>
      </c>
      <c r="S27" s="5"/>
      <c r="U27" s="38"/>
      <c r="V27" s="38"/>
      <c r="X27" s="75"/>
      <c r="Y27" s="60"/>
    </row>
    <row r="28" spans="1:37" hidden="1">
      <c r="A28" s="43">
        <v>24</v>
      </c>
      <c r="C28" s="1" t="s">
        <v>15</v>
      </c>
      <c r="P28" s="38">
        <f>-P176</f>
        <v>0</v>
      </c>
      <c r="Q28" s="38">
        <f>-Q176</f>
        <v>0</v>
      </c>
      <c r="R28" s="38">
        <f>+P28-Q28</f>
        <v>0</v>
      </c>
      <c r="S28" s="5"/>
      <c r="U28" s="38"/>
      <c r="V28" s="38"/>
      <c r="X28" s="75"/>
      <c r="Y28" s="60"/>
    </row>
    <row r="29" spans="1:37" hidden="1">
      <c r="A29" s="43">
        <v>25</v>
      </c>
      <c r="C29" s="1" t="s">
        <v>111</v>
      </c>
      <c r="P29" s="1">
        <f>SUM(P26:P28)</f>
        <v>500500</v>
      </c>
      <c r="Q29" s="1">
        <f>SUM(Q26:Q28)</f>
        <v>513300</v>
      </c>
      <c r="R29" s="38">
        <f>+P29-Q29</f>
        <v>-12800</v>
      </c>
      <c r="S29" s="5"/>
      <c r="X29" s="75"/>
      <c r="Y29" s="60"/>
    </row>
    <row r="30" spans="1:37" s="2" customFormat="1" ht="29">
      <c r="A30" s="43">
        <v>26</v>
      </c>
      <c r="B30" s="615">
        <v>0.08</v>
      </c>
      <c r="C30" s="13" t="str">
        <f>B30*100&amp;"% Benevolence"</f>
        <v>8% Benevolence</v>
      </c>
      <c r="D30" s="13"/>
      <c r="E30" s="85"/>
      <c r="F30" s="86"/>
      <c r="G30" s="86"/>
      <c r="H30" s="86"/>
      <c r="I30" s="86"/>
      <c r="J30" s="86"/>
      <c r="K30" s="86"/>
      <c r="L30" s="86"/>
      <c r="M30" s="86"/>
      <c r="N30" s="86"/>
      <c r="O30" s="12"/>
      <c r="P30" s="12">
        <f>ROUND(+P29*B30,0)</f>
        <v>40040</v>
      </c>
      <c r="Q30" s="12">
        <f>ROUND(+Q29*0.1,0)</f>
        <v>51330</v>
      </c>
      <c r="R30" s="12">
        <f>ROUND(+R29*0.1,0)</f>
        <v>-1280</v>
      </c>
      <c r="S30" s="14">
        <f>IF(Q30=0,"NA",(+P30-Q30)/Q30)</f>
        <v>-0.21994934736021821</v>
      </c>
      <c r="T30" s="1"/>
      <c r="U30" s="47">
        <v>51330</v>
      </c>
      <c r="V30" s="47">
        <v>51330</v>
      </c>
      <c r="W30" s="14">
        <f>IF(V30=0,"NA",(+U30-V30)/V30)</f>
        <v>0</v>
      </c>
      <c r="X30" s="65" t="s">
        <v>429</v>
      </c>
      <c r="Y30" s="61"/>
      <c r="AF30" s="1">
        <f>+$P30</f>
        <v>40040</v>
      </c>
      <c r="AG30" s="1"/>
      <c r="AJ30" s="1">
        <f>+$U30</f>
        <v>51330</v>
      </c>
      <c r="AK30" s="1"/>
    </row>
    <row r="31" spans="1:37" s="2" customFormat="1" ht="6.75" customHeight="1">
      <c r="A31" s="43">
        <v>27</v>
      </c>
      <c r="B31" s="15"/>
      <c r="C31" s="16"/>
      <c r="D31" s="15"/>
      <c r="E31" s="82"/>
      <c r="F31" s="82"/>
      <c r="G31" s="82"/>
      <c r="H31" s="82"/>
      <c r="I31" s="82"/>
      <c r="J31" s="82"/>
      <c r="K31" s="82"/>
      <c r="L31" s="82"/>
      <c r="M31" s="82"/>
      <c r="N31" s="82"/>
      <c r="O31" s="15"/>
      <c r="P31" s="15"/>
      <c r="Q31" s="17"/>
      <c r="R31" s="15"/>
      <c r="S31" s="18"/>
      <c r="T31" s="1"/>
      <c r="U31" s="15"/>
      <c r="V31" s="15"/>
      <c r="W31" s="18"/>
      <c r="X31" s="76"/>
      <c r="Y31" s="62"/>
    </row>
    <row r="32" spans="1:37" s="2" customFormat="1" ht="18.5">
      <c r="A32" s="43">
        <v>28</v>
      </c>
      <c r="B32" s="19" t="s">
        <v>62</v>
      </c>
      <c r="C32" s="16"/>
      <c r="D32" s="15"/>
      <c r="E32" s="82"/>
      <c r="F32" s="82"/>
      <c r="G32" s="82"/>
      <c r="H32" s="82"/>
      <c r="I32" s="82"/>
      <c r="J32" s="82"/>
      <c r="K32" s="82"/>
      <c r="L32" s="82"/>
      <c r="M32" s="82"/>
      <c r="N32" s="82"/>
      <c r="O32" s="15"/>
      <c r="P32" s="15"/>
      <c r="Q32" s="17"/>
      <c r="R32" s="15"/>
      <c r="S32" s="18"/>
      <c r="T32" s="1"/>
      <c r="U32" s="15"/>
      <c r="V32" s="15"/>
      <c r="W32" s="18"/>
      <c r="X32" s="76"/>
      <c r="Y32" s="62"/>
    </row>
    <row r="33" spans="1:35">
      <c r="A33" s="43">
        <v>29</v>
      </c>
      <c r="B33" s="2" t="s">
        <v>16</v>
      </c>
      <c r="S33" s="5"/>
      <c r="X33" s="75"/>
      <c r="Y33" s="60"/>
    </row>
    <row r="34" spans="1:35" ht="29">
      <c r="A34" s="43">
        <v>30</v>
      </c>
      <c r="C34" s="433" t="s">
        <v>84</v>
      </c>
      <c r="D34" s="434"/>
      <c r="E34" s="435"/>
      <c r="F34" s="436"/>
      <c r="G34" s="436"/>
      <c r="H34" s="436"/>
      <c r="I34" s="436"/>
      <c r="J34" s="436"/>
      <c r="K34" s="436"/>
      <c r="L34" s="436"/>
      <c r="M34" s="436"/>
      <c r="N34" s="436"/>
      <c r="O34" s="433"/>
      <c r="P34" s="437">
        <v>2300</v>
      </c>
      <c r="Q34" s="437">
        <v>2000</v>
      </c>
      <c r="R34" s="438">
        <f t="shared" ref="R34:R44" si="5">+P34-Q34</f>
        <v>300</v>
      </c>
      <c r="S34" s="439">
        <f t="shared" ref="S34:S45" si="6">IF(Q34=0,"NA",(+P34-Q34)/Q34)</f>
        <v>0.15</v>
      </c>
      <c r="T34" s="433"/>
      <c r="U34" s="437">
        <v>1429.11</v>
      </c>
      <c r="V34" s="437">
        <v>2000</v>
      </c>
      <c r="W34" s="439">
        <f t="shared" ref="W34:W45" si="7">IF(V34=0,"NA",(+U34-V34)/V34)</f>
        <v>-0.28544500000000006</v>
      </c>
      <c r="X34" s="440" t="s">
        <v>343</v>
      </c>
      <c r="Y34" s="59" t="s">
        <v>125</v>
      </c>
      <c r="AE34" s="1">
        <f>+$P34</f>
        <v>2300</v>
      </c>
      <c r="AI34" s="1">
        <f>+$U34</f>
        <v>1429.11</v>
      </c>
    </row>
    <row r="35" spans="1:35" ht="29">
      <c r="C35" s="256"/>
      <c r="D35" s="268"/>
      <c r="E35" s="269"/>
      <c r="F35" s="270"/>
      <c r="G35" s="270"/>
      <c r="H35" s="270"/>
      <c r="I35" s="270"/>
      <c r="J35" s="270"/>
      <c r="K35" s="270"/>
      <c r="L35" s="270"/>
      <c r="M35" s="270"/>
      <c r="N35" s="270"/>
      <c r="O35" s="256"/>
      <c r="P35" s="253"/>
      <c r="Q35" s="253"/>
      <c r="R35" s="254"/>
      <c r="S35" s="255"/>
      <c r="T35" s="256"/>
      <c r="U35" s="253"/>
      <c r="V35" s="253"/>
      <c r="W35" s="255"/>
      <c r="X35" s="257" t="s">
        <v>333</v>
      </c>
      <c r="Y35" s="59"/>
    </row>
    <row r="36" spans="1:35" ht="43.5">
      <c r="A36" s="43">
        <v>31</v>
      </c>
      <c r="C36" s="266" t="s">
        <v>17</v>
      </c>
      <c r="D36" s="274"/>
      <c r="E36" s="275"/>
      <c r="F36" s="276"/>
      <c r="G36" s="276"/>
      <c r="H36" s="276"/>
      <c r="I36" s="276"/>
      <c r="J36" s="276"/>
      <c r="K36" s="276"/>
      <c r="L36" s="276"/>
      <c r="M36" s="276"/>
      <c r="N36" s="276"/>
      <c r="O36" s="266"/>
      <c r="P36" s="263">
        <v>1000</v>
      </c>
      <c r="Q36" s="263">
        <v>1000</v>
      </c>
      <c r="R36" s="264">
        <f t="shared" si="5"/>
        <v>0</v>
      </c>
      <c r="S36" s="265">
        <f t="shared" si="6"/>
        <v>0</v>
      </c>
      <c r="T36" s="266"/>
      <c r="U36" s="263">
        <v>575.16999999999996</v>
      </c>
      <c r="V36" s="263">
        <v>1000</v>
      </c>
      <c r="W36" s="265">
        <f t="shared" si="7"/>
        <v>-0.42483000000000004</v>
      </c>
      <c r="X36" s="267" t="s">
        <v>367</v>
      </c>
      <c r="Y36" s="63" t="s">
        <v>126</v>
      </c>
      <c r="AE36" s="1">
        <f t="shared" ref="AE36:AE44" si="8">+$P36</f>
        <v>1000</v>
      </c>
      <c r="AI36" s="1">
        <f t="shared" ref="AI36:AI44" si="9">+$U36</f>
        <v>575.16999999999996</v>
      </c>
    </row>
    <row r="37" spans="1:35">
      <c r="C37" s="433"/>
      <c r="D37" s="434"/>
      <c r="E37" s="435"/>
      <c r="F37" s="436"/>
      <c r="G37" s="436"/>
      <c r="H37" s="436"/>
      <c r="I37" s="436"/>
      <c r="J37" s="436"/>
      <c r="K37" s="436"/>
      <c r="L37" s="436"/>
      <c r="M37" s="436"/>
      <c r="N37" s="436"/>
      <c r="O37" s="433"/>
      <c r="P37" s="437"/>
      <c r="Q37" s="437"/>
      <c r="R37" s="438"/>
      <c r="S37" s="439"/>
      <c r="T37" s="433"/>
      <c r="U37" s="437"/>
      <c r="V37" s="437"/>
      <c r="W37" s="439"/>
      <c r="X37" s="614" t="s">
        <v>368</v>
      </c>
      <c r="Y37" s="63"/>
    </row>
    <row r="38" spans="1:35" ht="29">
      <c r="C38" s="256"/>
      <c r="D38" s="268"/>
      <c r="E38" s="269"/>
      <c r="F38" s="270"/>
      <c r="G38" s="270"/>
      <c r="H38" s="270"/>
      <c r="I38" s="270"/>
      <c r="J38" s="270"/>
      <c r="K38" s="270"/>
      <c r="L38" s="270"/>
      <c r="M38" s="270"/>
      <c r="N38" s="270"/>
      <c r="O38" s="256"/>
      <c r="P38" s="253"/>
      <c r="Q38" s="253"/>
      <c r="R38" s="254"/>
      <c r="S38" s="255"/>
      <c r="T38" s="256"/>
      <c r="U38" s="253"/>
      <c r="V38" s="253"/>
      <c r="W38" s="255"/>
      <c r="X38" s="257" t="s">
        <v>334</v>
      </c>
      <c r="Y38" s="63"/>
    </row>
    <row r="39" spans="1:35" ht="29">
      <c r="A39" s="43">
        <v>32</v>
      </c>
      <c r="C39" s="266" t="s">
        <v>365</v>
      </c>
      <c r="D39" s="274"/>
      <c r="E39" s="275"/>
      <c r="F39" s="276"/>
      <c r="G39" s="276"/>
      <c r="H39" s="276"/>
      <c r="I39" s="276"/>
      <c r="J39" s="276"/>
      <c r="K39" s="276"/>
      <c r="L39" s="276"/>
      <c r="M39" s="276"/>
      <c r="N39" s="276"/>
      <c r="O39" s="266"/>
      <c r="P39" s="263">
        <v>250</v>
      </c>
      <c r="Q39" s="263">
        <v>1000</v>
      </c>
      <c r="R39" s="264">
        <f t="shared" si="5"/>
        <v>-750</v>
      </c>
      <c r="S39" s="265">
        <f t="shared" si="6"/>
        <v>-0.75</v>
      </c>
      <c r="T39" s="266"/>
      <c r="U39" s="263">
        <v>0</v>
      </c>
      <c r="V39" s="263">
        <v>1000</v>
      </c>
      <c r="W39" s="265">
        <f t="shared" si="7"/>
        <v>-1</v>
      </c>
      <c r="X39" s="267" t="s">
        <v>366</v>
      </c>
      <c r="Y39" s="63" t="s">
        <v>127</v>
      </c>
      <c r="AE39" s="1">
        <f t="shared" si="8"/>
        <v>250</v>
      </c>
      <c r="AI39" s="1">
        <f t="shared" si="9"/>
        <v>0</v>
      </c>
    </row>
    <row r="40" spans="1:35" ht="43.5">
      <c r="C40" s="256"/>
      <c r="D40" s="268"/>
      <c r="E40" s="269"/>
      <c r="F40" s="270"/>
      <c r="G40" s="270"/>
      <c r="H40" s="270"/>
      <c r="I40" s="270"/>
      <c r="J40" s="270"/>
      <c r="K40" s="270"/>
      <c r="L40" s="270"/>
      <c r="M40" s="270"/>
      <c r="N40" s="270"/>
      <c r="O40" s="256"/>
      <c r="P40" s="253"/>
      <c r="Q40" s="253"/>
      <c r="R40" s="254"/>
      <c r="S40" s="255"/>
      <c r="T40" s="256"/>
      <c r="U40" s="253"/>
      <c r="V40" s="253"/>
      <c r="W40" s="255"/>
      <c r="X40" s="440" t="s">
        <v>335</v>
      </c>
      <c r="Y40" s="63"/>
    </row>
    <row r="41" spans="1:35" ht="29">
      <c r="A41" s="43">
        <v>33</v>
      </c>
      <c r="C41" s="261" t="s">
        <v>18</v>
      </c>
      <c r="D41" s="271"/>
      <c r="E41" s="272"/>
      <c r="F41" s="273"/>
      <c r="G41" s="273"/>
      <c r="H41" s="273"/>
      <c r="I41" s="273"/>
      <c r="J41" s="273"/>
      <c r="K41" s="273"/>
      <c r="L41" s="273"/>
      <c r="M41" s="273"/>
      <c r="N41" s="273"/>
      <c r="O41" s="261"/>
      <c r="P41" s="258">
        <v>300</v>
      </c>
      <c r="Q41" s="258">
        <v>300</v>
      </c>
      <c r="R41" s="259">
        <f t="shared" si="5"/>
        <v>0</v>
      </c>
      <c r="S41" s="260">
        <f t="shared" si="6"/>
        <v>0</v>
      </c>
      <c r="T41" s="261"/>
      <c r="U41" s="258">
        <v>305.17</v>
      </c>
      <c r="V41" s="258">
        <v>300</v>
      </c>
      <c r="W41" s="260">
        <f t="shared" si="7"/>
        <v>1.7233333333333385E-2</v>
      </c>
      <c r="X41" s="262" t="s">
        <v>369</v>
      </c>
      <c r="Y41" s="59" t="s">
        <v>128</v>
      </c>
      <c r="AE41" s="1">
        <f t="shared" si="8"/>
        <v>300</v>
      </c>
      <c r="AI41" s="1">
        <f t="shared" si="9"/>
        <v>305.17</v>
      </c>
    </row>
    <row r="42" spans="1:35" ht="14.5" customHeight="1">
      <c r="A42" s="43">
        <v>34</v>
      </c>
      <c r="C42" s="261" t="s">
        <v>332</v>
      </c>
      <c r="D42" s="271"/>
      <c r="E42" s="272"/>
      <c r="F42" s="273"/>
      <c r="G42" s="273"/>
      <c r="H42" s="273"/>
      <c r="I42" s="273"/>
      <c r="J42" s="273"/>
      <c r="K42" s="273"/>
      <c r="L42" s="273"/>
      <c r="M42" s="273"/>
      <c r="N42" s="273"/>
      <c r="O42" s="261"/>
      <c r="P42" s="258">
        <v>200</v>
      </c>
      <c r="Q42" s="258">
        <v>200</v>
      </c>
      <c r="R42" s="259">
        <f t="shared" si="5"/>
        <v>0</v>
      </c>
      <c r="S42" s="260">
        <f t="shared" si="6"/>
        <v>0</v>
      </c>
      <c r="T42" s="261"/>
      <c r="U42" s="258">
        <v>205.52</v>
      </c>
      <c r="V42" s="258">
        <v>200</v>
      </c>
      <c r="W42" s="260">
        <f t="shared" si="7"/>
        <v>2.7600000000000052E-2</v>
      </c>
      <c r="X42" s="262" t="s">
        <v>336</v>
      </c>
      <c r="Y42" s="63" t="s">
        <v>129</v>
      </c>
      <c r="AE42" s="1">
        <f t="shared" si="8"/>
        <v>200</v>
      </c>
      <c r="AI42" s="1">
        <f t="shared" si="9"/>
        <v>205.52</v>
      </c>
    </row>
    <row r="43" spans="1:35" ht="43.5">
      <c r="C43" s="261" t="s">
        <v>108</v>
      </c>
      <c r="D43" s="271"/>
      <c r="E43" s="272"/>
      <c r="F43" s="273"/>
      <c r="G43" s="273"/>
      <c r="H43" s="273"/>
      <c r="I43" s="273"/>
      <c r="J43" s="273"/>
      <c r="K43" s="273"/>
      <c r="L43" s="273"/>
      <c r="M43" s="273"/>
      <c r="N43" s="273"/>
      <c r="O43" s="261"/>
      <c r="P43" s="258">
        <v>550</v>
      </c>
      <c r="Q43" s="258">
        <v>750</v>
      </c>
      <c r="R43" s="259">
        <f t="shared" si="5"/>
        <v>-200</v>
      </c>
      <c r="S43" s="260">
        <f>IF(Q43=0,"NA",(+P43-Q43)/Q43)</f>
        <v>-0.26666666666666666</v>
      </c>
      <c r="T43" s="261"/>
      <c r="U43" s="258">
        <v>303.08</v>
      </c>
      <c r="V43" s="258">
        <v>200</v>
      </c>
      <c r="W43" s="260">
        <f>IF(V43=0,"NA",(+U43-V43)/V43)</f>
        <v>0.51539999999999997</v>
      </c>
      <c r="X43" s="262" t="s">
        <v>344</v>
      </c>
      <c r="Y43" s="63" t="s">
        <v>130</v>
      </c>
      <c r="AE43" s="1">
        <f t="shared" si="8"/>
        <v>550</v>
      </c>
      <c r="AI43" s="1">
        <f t="shared" si="9"/>
        <v>303.08</v>
      </c>
    </row>
    <row r="44" spans="1:35" ht="14.5" customHeight="1">
      <c r="A44" s="43">
        <v>35</v>
      </c>
      <c r="C44" s="261" t="s">
        <v>88</v>
      </c>
      <c r="D44" s="271"/>
      <c r="E44" s="272"/>
      <c r="F44" s="273"/>
      <c r="G44" s="273"/>
      <c r="H44" s="273"/>
      <c r="I44" s="273"/>
      <c r="J44" s="273"/>
      <c r="K44" s="273"/>
      <c r="L44" s="273"/>
      <c r="M44" s="273"/>
      <c r="N44" s="273"/>
      <c r="O44" s="261"/>
      <c r="P44" s="258">
        <v>250</v>
      </c>
      <c r="Q44" s="258">
        <v>200</v>
      </c>
      <c r="R44" s="259">
        <f t="shared" si="5"/>
        <v>50</v>
      </c>
      <c r="S44" s="260">
        <f t="shared" si="6"/>
        <v>0.25</v>
      </c>
      <c r="T44" s="261"/>
      <c r="U44" s="258">
        <v>69.900000000000006</v>
      </c>
      <c r="V44" s="258">
        <v>750</v>
      </c>
      <c r="W44" s="260">
        <f t="shared" si="7"/>
        <v>-0.90680000000000005</v>
      </c>
      <c r="X44" s="262" t="s">
        <v>370</v>
      </c>
      <c r="Y44" s="63" t="s">
        <v>131</v>
      </c>
      <c r="AE44" s="1">
        <f t="shared" si="8"/>
        <v>250</v>
      </c>
      <c r="AI44" s="1">
        <f t="shared" si="9"/>
        <v>69.900000000000006</v>
      </c>
    </row>
    <row r="45" spans="1:35" s="2" customFormat="1">
      <c r="A45" s="43">
        <v>36</v>
      </c>
      <c r="B45" s="20" t="s">
        <v>20</v>
      </c>
      <c r="C45" s="20"/>
      <c r="D45" s="37"/>
      <c r="E45" s="87"/>
      <c r="F45" s="87"/>
      <c r="G45" s="87"/>
      <c r="H45" s="87"/>
      <c r="I45" s="87"/>
      <c r="J45" s="87"/>
      <c r="K45" s="87"/>
      <c r="L45" s="87"/>
      <c r="M45" s="87"/>
      <c r="N45" s="87"/>
      <c r="O45" s="37"/>
      <c r="P45" s="20">
        <f>SUM(P34:P44)</f>
        <v>4850</v>
      </c>
      <c r="Q45" s="37">
        <f>SUM(Q34:Q44)</f>
        <v>5450</v>
      </c>
      <c r="R45" s="37">
        <f>SUM(R34:R44)</f>
        <v>-600</v>
      </c>
      <c r="S45" s="21">
        <f t="shared" si="6"/>
        <v>-0.11009174311926606</v>
      </c>
      <c r="U45" s="37">
        <f>SUM(U34:U44)</f>
        <v>2887.95</v>
      </c>
      <c r="V45" s="37">
        <f>SUM(V34:V44)</f>
        <v>5450</v>
      </c>
      <c r="W45" s="21">
        <f t="shared" si="7"/>
        <v>-0.4701009174311927</v>
      </c>
      <c r="X45" s="263"/>
      <c r="Y45" s="62"/>
    </row>
    <row r="46" spans="1:35" ht="6" customHeight="1">
      <c r="A46" s="43">
        <v>37</v>
      </c>
      <c r="S46" s="5"/>
      <c r="X46" s="75"/>
      <c r="Y46" s="60"/>
    </row>
    <row r="47" spans="1:35">
      <c r="A47" s="43">
        <v>40</v>
      </c>
      <c r="B47" s="2" t="s">
        <v>153</v>
      </c>
      <c r="S47" s="5"/>
      <c r="X47" s="75"/>
      <c r="Y47" s="60"/>
    </row>
    <row r="48" spans="1:35" ht="41.5" customHeight="1">
      <c r="A48" s="43">
        <v>41</v>
      </c>
      <c r="C48" s="256" t="s">
        <v>21</v>
      </c>
      <c r="D48" s="268"/>
      <c r="E48" s="269"/>
      <c r="F48" s="270"/>
      <c r="G48" s="270"/>
      <c r="H48" s="270"/>
      <c r="I48" s="270"/>
      <c r="J48" s="270"/>
      <c r="K48" s="270"/>
      <c r="L48" s="270"/>
      <c r="M48" s="270"/>
      <c r="N48" s="270"/>
      <c r="O48" s="256"/>
      <c r="P48" s="281">
        <v>3500</v>
      </c>
      <c r="Q48" s="281">
        <f>5000-1000</f>
        <v>4000</v>
      </c>
      <c r="R48" s="254">
        <f>+P48-Q48</f>
        <v>-500</v>
      </c>
      <c r="S48" s="255">
        <f>IF(Q48=0,"NA",(+P48-Q48)/Q48)</f>
        <v>-0.125</v>
      </c>
      <c r="T48" s="256"/>
      <c r="U48" s="253">
        <v>3303.62</v>
      </c>
      <c r="V48" s="253">
        <v>4000</v>
      </c>
      <c r="W48" s="255">
        <f>IF(V48=0,"NA",(+U48-V48)/V48)</f>
        <v>-0.17409500000000003</v>
      </c>
      <c r="X48" s="257" t="s">
        <v>338</v>
      </c>
      <c r="Y48" s="63" t="s">
        <v>145</v>
      </c>
      <c r="AD48" s="1">
        <f>+$P48</f>
        <v>3500</v>
      </c>
      <c r="AH48" s="1">
        <f>+$U48</f>
        <v>3303.62</v>
      </c>
    </row>
    <row r="49" spans="1:36" hidden="1">
      <c r="C49" s="261" t="s">
        <v>158</v>
      </c>
      <c r="D49" s="271"/>
      <c r="E49" s="272"/>
      <c r="F49" s="273"/>
      <c r="G49" s="273"/>
      <c r="H49" s="273"/>
      <c r="I49" s="273"/>
      <c r="J49" s="273"/>
      <c r="K49" s="273"/>
      <c r="L49" s="273"/>
      <c r="M49" s="273"/>
      <c r="N49" s="273"/>
      <c r="O49" s="261"/>
      <c r="P49" s="258">
        <v>0</v>
      </c>
      <c r="Q49" s="258">
        <v>0</v>
      </c>
      <c r="R49" s="259">
        <f>+P49-Q49</f>
        <v>0</v>
      </c>
      <c r="S49" s="260" t="str">
        <f>IF(Q49=0,"NA",(+P49-Q49)/Q49)</f>
        <v>NA</v>
      </c>
      <c r="T49" s="261"/>
      <c r="U49" s="258">
        <v>0</v>
      </c>
      <c r="V49" s="258">
        <v>0</v>
      </c>
      <c r="W49" s="260" t="str">
        <f>IF(V49=0,"NA",(+U49-V49)/V49)</f>
        <v>NA</v>
      </c>
      <c r="X49" s="262" t="s">
        <v>159</v>
      </c>
      <c r="Y49" s="63"/>
      <c r="AD49" s="1">
        <f>+$P49</f>
        <v>0</v>
      </c>
      <c r="AH49" s="1">
        <f>+$U49</f>
        <v>0</v>
      </c>
    </row>
    <row r="50" spans="1:36">
      <c r="A50" s="43">
        <v>43</v>
      </c>
      <c r="C50" s="261" t="s">
        <v>22</v>
      </c>
      <c r="D50" s="271"/>
      <c r="E50" s="272"/>
      <c r="F50" s="273"/>
      <c r="G50" s="273"/>
      <c r="H50" s="273"/>
      <c r="I50" s="273"/>
      <c r="J50" s="273"/>
      <c r="K50" s="273"/>
      <c r="L50" s="273"/>
      <c r="M50" s="273"/>
      <c r="N50" s="273"/>
      <c r="O50" s="261"/>
      <c r="P50" s="258">
        <v>100</v>
      </c>
      <c r="Q50" s="258">
        <v>100</v>
      </c>
      <c r="R50" s="259">
        <f>+P50-Q50</f>
        <v>0</v>
      </c>
      <c r="S50" s="260">
        <f>IF(Q50=0,"NA",(+P50-Q50)/Q50)</f>
        <v>0</v>
      </c>
      <c r="T50" s="261"/>
      <c r="U50" s="258">
        <v>0</v>
      </c>
      <c r="V50" s="258">
        <v>100</v>
      </c>
      <c r="W50" s="260">
        <f>IF(V50=0,"NA",(+U50-V50)/V50)</f>
        <v>-1</v>
      </c>
      <c r="X50" s="262" t="s">
        <v>337</v>
      </c>
      <c r="Y50" s="59" t="s">
        <v>144</v>
      </c>
      <c r="AD50" s="1">
        <f>+$P50</f>
        <v>100</v>
      </c>
      <c r="AH50" s="1">
        <f>+$U50</f>
        <v>0</v>
      </c>
    </row>
    <row r="51" spans="1:36">
      <c r="A51" s="43">
        <v>44</v>
      </c>
      <c r="C51" s="261" t="s">
        <v>23</v>
      </c>
      <c r="D51" s="271"/>
      <c r="E51" s="272"/>
      <c r="F51" s="273"/>
      <c r="G51" s="273"/>
      <c r="H51" s="273"/>
      <c r="I51" s="273"/>
      <c r="J51" s="273"/>
      <c r="K51" s="273"/>
      <c r="L51" s="273"/>
      <c r="M51" s="273"/>
      <c r="N51" s="273"/>
      <c r="O51" s="261"/>
      <c r="P51" s="258">
        <v>200</v>
      </c>
      <c r="Q51" s="258">
        <v>200</v>
      </c>
      <c r="R51" s="259">
        <f>+P51-Q51</f>
        <v>0</v>
      </c>
      <c r="S51" s="260">
        <f>IF(Q51=0,"NA",(+P51-Q51)/Q51)</f>
        <v>0</v>
      </c>
      <c r="T51" s="261"/>
      <c r="U51" s="258">
        <v>154.44999999999999</v>
      </c>
      <c r="V51" s="258">
        <v>200</v>
      </c>
      <c r="W51" s="260">
        <f>IF(V51=0,"NA",(+U51-V51)/V51)</f>
        <v>-0.22775000000000006</v>
      </c>
      <c r="X51" s="262" t="s">
        <v>337</v>
      </c>
      <c r="Y51" s="60"/>
      <c r="AD51" s="1">
        <f>+$P51</f>
        <v>200</v>
      </c>
      <c r="AH51" s="1">
        <f>+$U51</f>
        <v>154.44999999999999</v>
      </c>
    </row>
    <row r="52" spans="1:36" s="2" customFormat="1">
      <c r="A52" s="43">
        <v>45</v>
      </c>
      <c r="B52" s="20" t="s">
        <v>154</v>
      </c>
      <c r="C52" s="20"/>
      <c r="D52" s="37"/>
      <c r="E52" s="87"/>
      <c r="F52" s="87"/>
      <c r="G52" s="87"/>
      <c r="H52" s="87"/>
      <c r="I52" s="87"/>
      <c r="J52" s="87"/>
      <c r="K52" s="87"/>
      <c r="L52" s="87"/>
      <c r="M52" s="87"/>
      <c r="N52" s="87"/>
      <c r="O52" s="37"/>
      <c r="P52" s="20">
        <f>SUM(P48:P51)</f>
        <v>3800</v>
      </c>
      <c r="Q52" s="37">
        <f>SUM(Q48:Q51)</f>
        <v>4300</v>
      </c>
      <c r="R52" s="37">
        <f>SUM(R48:R51)</f>
        <v>-500</v>
      </c>
      <c r="S52" s="21">
        <f>IF(Q52=0,"NA",(+P52-Q52)/Q52)</f>
        <v>-0.11627906976744186</v>
      </c>
      <c r="U52" s="37">
        <f>SUM(U48:U51)</f>
        <v>3458.0699999999997</v>
      </c>
      <c r="V52" s="37">
        <f>SUM(V48:V51)</f>
        <v>4300</v>
      </c>
      <c r="W52" s="21">
        <f>IF(V52=0,"NA",(+U52-V52)/V52)</f>
        <v>-0.19579767441860471</v>
      </c>
      <c r="X52" s="75"/>
      <c r="Y52" s="60"/>
    </row>
    <row r="53" spans="1:36" ht="6.75" customHeight="1">
      <c r="A53" s="43">
        <v>46</v>
      </c>
      <c r="D53" s="1"/>
      <c r="E53" s="39"/>
      <c r="S53" s="5"/>
      <c r="X53" s="75"/>
      <c r="Y53" s="60"/>
    </row>
    <row r="54" spans="1:36" s="2" customFormat="1">
      <c r="A54" s="43">
        <v>51</v>
      </c>
      <c r="B54" s="20" t="s">
        <v>24</v>
      </c>
      <c r="C54" s="20"/>
      <c r="D54" s="37"/>
      <c r="E54" s="87"/>
      <c r="F54" s="87"/>
      <c r="G54" s="87"/>
      <c r="H54" s="87"/>
      <c r="I54" s="87"/>
      <c r="J54" s="87"/>
      <c r="K54" s="87"/>
      <c r="L54" s="87"/>
      <c r="M54" s="87"/>
      <c r="N54" s="87"/>
      <c r="O54" s="37"/>
      <c r="P54" s="49">
        <v>12800</v>
      </c>
      <c r="Q54" s="49">
        <v>12800</v>
      </c>
      <c r="R54" s="45">
        <f>+P54-Q54</f>
        <v>0</v>
      </c>
      <c r="S54" s="21">
        <f>IF(Q54=0,"NA",(+P54-Q54)/Q54)</f>
        <v>0</v>
      </c>
      <c r="U54" s="49">
        <v>7869.79</v>
      </c>
      <c r="V54" s="49">
        <v>12800</v>
      </c>
      <c r="W54" s="21">
        <f>IF(V54=0,"NA",(+U54-V54)/V54)</f>
        <v>-0.38517265625000002</v>
      </c>
      <c r="X54" s="63" t="s">
        <v>361</v>
      </c>
      <c r="Y54" s="59"/>
      <c r="AE54" s="1">
        <f>+$P54</f>
        <v>12800</v>
      </c>
      <c r="AI54" s="1">
        <f>+$U54</f>
        <v>7869.79</v>
      </c>
    </row>
    <row r="55" spans="1:36" s="2" customFormat="1" ht="43.5">
      <c r="A55" s="43"/>
      <c r="B55" s="37"/>
      <c r="C55" s="37"/>
      <c r="D55" s="37"/>
      <c r="E55" s="87"/>
      <c r="F55" s="87"/>
      <c r="G55" s="87"/>
      <c r="H55" s="87"/>
      <c r="I55" s="87"/>
      <c r="J55" s="87"/>
      <c r="K55" s="87"/>
      <c r="L55" s="87"/>
      <c r="M55" s="87"/>
      <c r="N55" s="87"/>
      <c r="O55" s="37"/>
      <c r="P55" s="49"/>
      <c r="Q55" s="49"/>
      <c r="R55" s="45"/>
      <c r="S55" s="21"/>
      <c r="U55" s="49"/>
      <c r="V55" s="49"/>
      <c r="W55" s="21"/>
      <c r="X55" s="63" t="s">
        <v>360</v>
      </c>
      <c r="Y55" s="59"/>
      <c r="AE55" s="1"/>
      <c r="AI55" s="1"/>
    </row>
    <row r="56" spans="1:36" ht="6.75" customHeight="1">
      <c r="A56" s="43">
        <v>52</v>
      </c>
      <c r="S56" s="5"/>
      <c r="X56" s="75"/>
      <c r="Y56" s="60"/>
    </row>
    <row r="57" spans="1:36">
      <c r="A57" s="43">
        <v>53</v>
      </c>
      <c r="B57" s="2" t="s">
        <v>94</v>
      </c>
      <c r="S57" s="5"/>
      <c r="X57" s="75"/>
      <c r="Y57" s="60"/>
    </row>
    <row r="58" spans="1:36" ht="29">
      <c r="A58" s="43">
        <v>54</v>
      </c>
      <c r="C58" s="256" t="s">
        <v>96</v>
      </c>
      <c r="D58" s="268"/>
      <c r="E58" s="269"/>
      <c r="F58" s="270"/>
      <c r="G58" s="270"/>
      <c r="H58" s="270"/>
      <c r="I58" s="270"/>
      <c r="J58" s="270"/>
      <c r="K58" s="270"/>
      <c r="L58" s="270"/>
      <c r="M58" s="270"/>
      <c r="N58" s="270"/>
      <c r="O58" s="256"/>
      <c r="P58" s="253">
        <v>400</v>
      </c>
      <c r="Q58" s="253">
        <v>400</v>
      </c>
      <c r="R58" s="254">
        <f>+P58-Q58</f>
        <v>0</v>
      </c>
      <c r="S58" s="255">
        <f>IF(Q58=0,"NA",(+P58-Q58)/Q58)</f>
        <v>0</v>
      </c>
      <c r="T58" s="256"/>
      <c r="U58" s="253">
        <v>421.61</v>
      </c>
      <c r="V58" s="253">
        <v>400</v>
      </c>
      <c r="W58" s="255">
        <f>IF(V58=0,"NA",(+U58-V58)/V58)</f>
        <v>5.4025000000000031E-2</v>
      </c>
      <c r="X58" s="257" t="s">
        <v>339</v>
      </c>
      <c r="Y58" s="59"/>
      <c r="AD58" s="1">
        <f>+$P58</f>
        <v>400</v>
      </c>
      <c r="AH58" s="1">
        <f>+$U58</f>
        <v>421.61</v>
      </c>
    </row>
    <row r="59" spans="1:36">
      <c r="A59" s="43">
        <v>55</v>
      </c>
      <c r="C59" s="261" t="s">
        <v>91</v>
      </c>
      <c r="D59" s="271"/>
      <c r="E59" s="272"/>
      <c r="F59" s="273"/>
      <c r="G59" s="273"/>
      <c r="H59" s="273"/>
      <c r="I59" s="273"/>
      <c r="J59" s="273"/>
      <c r="K59" s="273"/>
      <c r="L59" s="273"/>
      <c r="M59" s="273"/>
      <c r="N59" s="273"/>
      <c r="O59" s="261"/>
      <c r="P59" s="258">
        <v>150</v>
      </c>
      <c r="Q59" s="258">
        <v>150</v>
      </c>
      <c r="R59" s="259">
        <f>+P59-Q59</f>
        <v>0</v>
      </c>
      <c r="S59" s="260">
        <f>IF(Q59=0,"NA",(+P59-Q59)/Q59)</f>
        <v>0</v>
      </c>
      <c r="T59" s="261"/>
      <c r="U59" s="258">
        <v>164.57</v>
      </c>
      <c r="V59" s="258">
        <v>150</v>
      </c>
      <c r="W59" s="260">
        <f>IF(V59=0,"NA",(+U59-V59)/V59)</f>
        <v>9.7133333333333294E-2</v>
      </c>
      <c r="X59" s="262" t="s">
        <v>340</v>
      </c>
      <c r="Y59" s="59"/>
      <c r="AD59" s="1">
        <f>+$P59</f>
        <v>150</v>
      </c>
      <c r="AH59" s="1">
        <f>+$U59</f>
        <v>164.57</v>
      </c>
    </row>
    <row r="60" spans="1:36" s="2" customFormat="1">
      <c r="A60" s="43">
        <v>56</v>
      </c>
      <c r="B60" s="20" t="s">
        <v>90</v>
      </c>
      <c r="C60" s="20"/>
      <c r="D60" s="37"/>
      <c r="E60" s="87"/>
      <c r="F60" s="87"/>
      <c r="G60" s="87"/>
      <c r="H60" s="87"/>
      <c r="I60" s="87"/>
      <c r="J60" s="87"/>
      <c r="K60" s="87"/>
      <c r="L60" s="87"/>
      <c r="M60" s="87"/>
      <c r="N60" s="87"/>
      <c r="O60" s="37"/>
      <c r="P60" s="20">
        <f>SUM(P58:P59)</f>
        <v>550</v>
      </c>
      <c r="Q60" s="37">
        <f>SUM(Q58:Q59)</f>
        <v>550</v>
      </c>
      <c r="R60" s="37">
        <f>SUM(R58:R59)</f>
        <v>0</v>
      </c>
      <c r="S60" s="21">
        <f>IF(Q60=0,"NA",(+P60-Q60)/Q60)</f>
        <v>0</v>
      </c>
      <c r="U60" s="37">
        <f>SUM(U58:U59)</f>
        <v>586.18000000000006</v>
      </c>
      <c r="V60" s="37">
        <f>SUM(V58:V59)</f>
        <v>550</v>
      </c>
      <c r="W60" s="21">
        <f>IF(V60=0,"NA",(+U60-V60)/V60)</f>
        <v>6.5781818181818302E-2</v>
      </c>
      <c r="X60" s="76"/>
      <c r="Y60" s="62"/>
    </row>
    <row r="61" spans="1:36" ht="5.25" customHeight="1">
      <c r="A61" s="43">
        <v>57</v>
      </c>
      <c r="S61" s="5"/>
      <c r="X61" s="75"/>
      <c r="Y61" s="60"/>
    </row>
    <row r="62" spans="1:36" ht="29">
      <c r="A62" s="43">
        <v>58</v>
      </c>
      <c r="B62" s="37" t="s">
        <v>454</v>
      </c>
      <c r="C62" s="22"/>
      <c r="D62" s="22"/>
      <c r="E62" s="88"/>
      <c r="F62" s="88"/>
      <c r="G62" s="88"/>
      <c r="H62" s="88"/>
      <c r="I62" s="88"/>
      <c r="J62" s="88"/>
      <c r="K62" s="88"/>
      <c r="L62" s="88"/>
      <c r="M62" s="88"/>
      <c r="N62" s="88"/>
      <c r="O62" s="22"/>
      <c r="P62" s="54">
        <v>200</v>
      </c>
      <c r="Q62" s="54">
        <v>200</v>
      </c>
      <c r="R62" s="45">
        <f>+P62-Q62</f>
        <v>0</v>
      </c>
      <c r="S62" s="21">
        <f>IF(Q62=0,"NA",(+P62-Q62)/Q62)</f>
        <v>0</v>
      </c>
      <c r="U62" s="54">
        <v>200</v>
      </c>
      <c r="V62" s="54">
        <v>200</v>
      </c>
      <c r="W62" s="21">
        <f>IF(V62=0,"NA",(+U62-V62)/V62)</f>
        <v>0</v>
      </c>
      <c r="X62" s="63" t="s">
        <v>427</v>
      </c>
      <c r="Y62" s="59" t="s">
        <v>119</v>
      </c>
      <c r="AF62" s="1">
        <f>+$P62</f>
        <v>200</v>
      </c>
      <c r="AJ62" s="1">
        <f>+$U62</f>
        <v>200</v>
      </c>
    </row>
    <row r="63" spans="1:36" ht="6" customHeight="1">
      <c r="A63" s="43">
        <v>59</v>
      </c>
      <c r="S63" s="5"/>
      <c r="X63" s="75"/>
      <c r="Y63" s="60"/>
    </row>
    <row r="64" spans="1:36">
      <c r="A64" s="43">
        <v>60</v>
      </c>
      <c r="B64" s="2" t="s">
        <v>26</v>
      </c>
      <c r="S64" s="5"/>
      <c r="X64" s="75"/>
      <c r="Y64" s="60"/>
    </row>
    <row r="65" spans="1:35">
      <c r="A65" s="43">
        <v>61</v>
      </c>
      <c r="C65" s="256" t="s">
        <v>27</v>
      </c>
      <c r="D65" s="268"/>
      <c r="E65" s="269"/>
      <c r="F65" s="270"/>
      <c r="G65" s="270"/>
      <c r="H65" s="270"/>
      <c r="I65" s="270"/>
      <c r="J65" s="270"/>
      <c r="K65" s="270"/>
      <c r="L65" s="270"/>
      <c r="M65" s="270"/>
      <c r="N65" s="270"/>
      <c r="O65" s="256"/>
      <c r="P65" s="281">
        <v>200</v>
      </c>
      <c r="Q65" s="281">
        <v>200</v>
      </c>
      <c r="R65" s="254">
        <f t="shared" ref="R65:R70" si="10">+P65-Q65</f>
        <v>0</v>
      </c>
      <c r="S65" s="255">
        <f t="shared" ref="S65:S72" si="11">IF(Q65=0,"NA",(+P65-Q65)/Q65)</f>
        <v>0</v>
      </c>
      <c r="T65" s="256"/>
      <c r="U65" s="253">
        <v>0</v>
      </c>
      <c r="V65" s="253">
        <v>200</v>
      </c>
      <c r="W65" s="255">
        <f t="shared" ref="W65:W72" si="12">IF(V65=0,"NA",(+U65-V65)/V65)</f>
        <v>-1</v>
      </c>
      <c r="X65" s="257"/>
      <c r="Y65" s="60"/>
      <c r="AD65" s="1">
        <f>+$P65</f>
        <v>200</v>
      </c>
      <c r="AH65" s="1">
        <f>+$U65</f>
        <v>0</v>
      </c>
    </row>
    <row r="66" spans="1:35" ht="15.5">
      <c r="A66" s="43">
        <v>62</v>
      </c>
      <c r="C66" s="261" t="s">
        <v>28</v>
      </c>
      <c r="D66" s="271"/>
      <c r="E66" s="272"/>
      <c r="F66" s="273"/>
      <c r="G66" s="273"/>
      <c r="H66" s="273"/>
      <c r="I66" s="273"/>
      <c r="J66" s="273"/>
      <c r="K66" s="273"/>
      <c r="L66" s="273"/>
      <c r="M66" s="273"/>
      <c r="N66" s="273"/>
      <c r="O66" s="261"/>
      <c r="P66" s="279">
        <v>700</v>
      </c>
      <c r="Q66" s="279">
        <v>800</v>
      </c>
      <c r="R66" s="259">
        <f t="shared" si="10"/>
        <v>-100</v>
      </c>
      <c r="S66" s="260">
        <f t="shared" si="11"/>
        <v>-0.125</v>
      </c>
      <c r="T66" s="261"/>
      <c r="U66" s="258">
        <v>701.37</v>
      </c>
      <c r="V66" s="258">
        <v>800</v>
      </c>
      <c r="W66" s="260">
        <f t="shared" si="12"/>
        <v>-0.12328749999999999</v>
      </c>
      <c r="X66" s="262"/>
      <c r="Y66" s="64" t="s">
        <v>118</v>
      </c>
      <c r="AD66" s="1">
        <f>+$P66</f>
        <v>700</v>
      </c>
      <c r="AH66" s="1">
        <f>+$U66</f>
        <v>701.37</v>
      </c>
    </row>
    <row r="67" spans="1:35" ht="58">
      <c r="A67" s="43">
        <v>63</v>
      </c>
      <c r="C67" s="261" t="s">
        <v>29</v>
      </c>
      <c r="D67" s="271"/>
      <c r="E67" s="272"/>
      <c r="F67" s="273"/>
      <c r="G67" s="273"/>
      <c r="H67" s="273"/>
      <c r="I67" s="273"/>
      <c r="J67" s="273"/>
      <c r="K67" s="273"/>
      <c r="L67" s="273"/>
      <c r="M67" s="273"/>
      <c r="N67" s="273"/>
      <c r="O67" s="261"/>
      <c r="P67" s="279">
        <v>1000</v>
      </c>
      <c r="Q67" s="279">
        <v>1000</v>
      </c>
      <c r="R67" s="259">
        <f t="shared" si="10"/>
        <v>0</v>
      </c>
      <c r="S67" s="260">
        <f t="shared" si="11"/>
        <v>0</v>
      </c>
      <c r="T67" s="261"/>
      <c r="U67" s="258">
        <v>910</v>
      </c>
      <c r="V67" s="258">
        <v>1000</v>
      </c>
      <c r="W67" s="260">
        <f t="shared" si="12"/>
        <v>-0.09</v>
      </c>
      <c r="X67" s="262" t="s">
        <v>371</v>
      </c>
      <c r="Y67" s="65"/>
      <c r="AF67" s="1">
        <f>+$P67</f>
        <v>1000</v>
      </c>
      <c r="AI67" s="1">
        <f t="shared" ref="AH67:AI70" si="13">+$U67</f>
        <v>910</v>
      </c>
    </row>
    <row r="68" spans="1:35" ht="29">
      <c r="A68" s="43">
        <v>64</v>
      </c>
      <c r="C68" s="261" t="s">
        <v>30</v>
      </c>
      <c r="D68" s="271"/>
      <c r="E68" s="272"/>
      <c r="F68" s="273"/>
      <c r="G68" s="273"/>
      <c r="H68" s="273"/>
      <c r="I68" s="273"/>
      <c r="J68" s="273"/>
      <c r="K68" s="273"/>
      <c r="L68" s="273"/>
      <c r="M68" s="273"/>
      <c r="N68" s="273"/>
      <c r="O68" s="261"/>
      <c r="P68" s="279">
        <v>3000</v>
      </c>
      <c r="Q68" s="279">
        <v>3000</v>
      </c>
      <c r="R68" s="259">
        <f t="shared" si="10"/>
        <v>0</v>
      </c>
      <c r="S68" s="260">
        <f t="shared" si="11"/>
        <v>0</v>
      </c>
      <c r="T68" s="261"/>
      <c r="U68" s="258">
        <v>1594.03</v>
      </c>
      <c r="V68" s="258">
        <v>3000</v>
      </c>
      <c r="W68" s="260">
        <f t="shared" si="12"/>
        <v>-0.46865666666666667</v>
      </c>
      <c r="X68" s="262" t="s">
        <v>451</v>
      </c>
      <c r="Y68" s="63"/>
      <c r="AF68" s="1">
        <f>+$P68</f>
        <v>3000</v>
      </c>
      <c r="AI68" s="1">
        <f t="shared" si="13"/>
        <v>1594.03</v>
      </c>
    </row>
    <row r="69" spans="1:35">
      <c r="C69" s="261" t="s">
        <v>362</v>
      </c>
      <c r="D69" s="271"/>
      <c r="E69" s="272"/>
      <c r="F69" s="273"/>
      <c r="G69" s="273"/>
      <c r="H69" s="273"/>
      <c r="I69" s="273"/>
      <c r="J69" s="273"/>
      <c r="K69" s="273"/>
      <c r="L69" s="273"/>
      <c r="M69" s="273"/>
      <c r="N69" s="273"/>
      <c r="O69" s="261"/>
      <c r="P69" s="279">
        <v>200</v>
      </c>
      <c r="Q69" s="279">
        <v>200</v>
      </c>
      <c r="R69" s="259">
        <f>+P69-Q69</f>
        <v>0</v>
      </c>
      <c r="S69" s="260">
        <f>IF(Q69=0,"NA",(+P69-Q69)/Q69)</f>
        <v>0</v>
      </c>
      <c r="T69" s="261"/>
      <c r="U69" s="258">
        <v>0</v>
      </c>
      <c r="V69" s="258">
        <v>200</v>
      </c>
      <c r="W69" s="260">
        <f>IF(V69=0,"NA",(+U69-V69)/V69)</f>
        <v>-1</v>
      </c>
      <c r="X69" s="262"/>
      <c r="Y69" s="63"/>
      <c r="AD69" s="1">
        <f>+$P69</f>
        <v>200</v>
      </c>
      <c r="AH69" s="1">
        <f t="shared" si="13"/>
        <v>0</v>
      </c>
    </row>
    <row r="70" spans="1:35" ht="43.5">
      <c r="A70" s="43">
        <v>65</v>
      </c>
      <c r="C70" s="266" t="s">
        <v>117</v>
      </c>
      <c r="D70" s="274"/>
      <c r="E70" s="275"/>
      <c r="F70" s="276"/>
      <c r="G70" s="276"/>
      <c r="H70" s="276"/>
      <c r="I70" s="276"/>
      <c r="J70" s="276"/>
      <c r="K70" s="276"/>
      <c r="L70" s="276"/>
      <c r="M70" s="276"/>
      <c r="N70" s="276"/>
      <c r="O70" s="266"/>
      <c r="P70" s="280">
        <v>1575</v>
      </c>
      <c r="Q70" s="280">
        <v>1575</v>
      </c>
      <c r="R70" s="264">
        <f t="shared" si="10"/>
        <v>0</v>
      </c>
      <c r="S70" s="265">
        <f t="shared" si="11"/>
        <v>0</v>
      </c>
      <c r="T70" s="266"/>
      <c r="U70" s="280">
        <v>1205.25</v>
      </c>
      <c r="V70" s="280">
        <v>1575</v>
      </c>
      <c r="W70" s="265">
        <f t="shared" si="12"/>
        <v>-0.23476190476190475</v>
      </c>
      <c r="X70" s="267" t="s">
        <v>341</v>
      </c>
      <c r="Y70" s="59" t="s">
        <v>118</v>
      </c>
      <c r="AD70" s="1">
        <f>+$P70</f>
        <v>1575</v>
      </c>
      <c r="AH70" s="1">
        <f t="shared" si="13"/>
        <v>1205.25</v>
      </c>
    </row>
    <row r="71" spans="1:35" ht="43.5">
      <c r="C71" s="433"/>
      <c r="D71" s="434"/>
      <c r="E71" s="435"/>
      <c r="F71" s="436"/>
      <c r="G71" s="436"/>
      <c r="H71" s="436"/>
      <c r="I71" s="436"/>
      <c r="J71" s="436"/>
      <c r="K71" s="436"/>
      <c r="L71" s="436"/>
      <c r="M71" s="436"/>
      <c r="N71" s="436"/>
      <c r="O71" s="433"/>
      <c r="P71" s="441"/>
      <c r="Q71" s="441"/>
      <c r="R71" s="438"/>
      <c r="S71" s="439"/>
      <c r="T71" s="433"/>
      <c r="U71" s="441"/>
      <c r="V71" s="441"/>
      <c r="W71" s="439"/>
      <c r="X71" s="267" t="s">
        <v>197</v>
      </c>
      <c r="Y71" s="59"/>
    </row>
    <row r="72" spans="1:35" s="2" customFormat="1">
      <c r="A72" s="43">
        <v>66</v>
      </c>
      <c r="B72" s="20" t="s">
        <v>31</v>
      </c>
      <c r="C72" s="20"/>
      <c r="D72" s="37"/>
      <c r="E72" s="87"/>
      <c r="F72" s="87"/>
      <c r="G72" s="87"/>
      <c r="H72" s="87"/>
      <c r="I72" s="87"/>
      <c r="J72" s="87"/>
      <c r="K72" s="87"/>
      <c r="L72" s="87"/>
      <c r="M72" s="87"/>
      <c r="N72" s="87"/>
      <c r="O72" s="37"/>
      <c r="P72" s="20">
        <f>SUM(P65:P70)</f>
        <v>6675</v>
      </c>
      <c r="Q72" s="37">
        <f>SUM(Q65:Q70)</f>
        <v>6775</v>
      </c>
      <c r="R72" s="37">
        <f>SUM(R65:R70)</f>
        <v>-100</v>
      </c>
      <c r="S72" s="21">
        <f t="shared" si="11"/>
        <v>-1.4760147601476014E-2</v>
      </c>
      <c r="U72" s="37">
        <f>SUM(U65:U70)</f>
        <v>4410.6499999999996</v>
      </c>
      <c r="V72" s="37">
        <f>SUM(V65:V70)</f>
        <v>6775</v>
      </c>
      <c r="W72" s="21">
        <f t="shared" si="12"/>
        <v>-0.34898154981549823</v>
      </c>
      <c r="X72" s="76"/>
      <c r="Y72" s="62"/>
    </row>
    <row r="73" spans="1:35" ht="6" customHeight="1">
      <c r="A73" s="43">
        <v>67</v>
      </c>
      <c r="S73" s="5"/>
      <c r="X73" s="75"/>
      <c r="Y73" s="60"/>
    </row>
    <row r="74" spans="1:35">
      <c r="A74" s="43">
        <v>68</v>
      </c>
      <c r="B74" s="2" t="s">
        <v>32</v>
      </c>
      <c r="S74" s="5"/>
      <c r="X74" s="75"/>
      <c r="Y74" s="60"/>
      <c r="AD74" s="629">
        <v>0.33300000000000002</v>
      </c>
      <c r="AE74" s="629">
        <v>0.33300000000000002</v>
      </c>
      <c r="AF74" s="629">
        <v>0.33400000000000002</v>
      </c>
    </row>
    <row r="75" spans="1:35" ht="14.4" customHeight="1">
      <c r="A75" s="43">
        <v>69</v>
      </c>
      <c r="C75" s="256" t="s">
        <v>33</v>
      </c>
      <c r="D75" s="268"/>
      <c r="E75" s="269"/>
      <c r="F75" s="270"/>
      <c r="G75" s="270"/>
      <c r="H75" s="270"/>
      <c r="I75" s="270"/>
      <c r="J75" s="270"/>
      <c r="K75" s="270"/>
      <c r="L75" s="270"/>
      <c r="M75" s="270"/>
      <c r="N75" s="270"/>
      <c r="O75" s="256"/>
      <c r="P75" s="281">
        <v>3500</v>
      </c>
      <c r="Q75" s="281">
        <v>3500</v>
      </c>
      <c r="R75" s="254">
        <f t="shared" ref="R75:R80" si="14">+P75-Q75</f>
        <v>0</v>
      </c>
      <c r="S75" s="255">
        <f t="shared" ref="S75:S82" si="15">IF(Q75=0,"NA",(+P75-Q75)/Q75)</f>
        <v>0</v>
      </c>
      <c r="T75" s="256"/>
      <c r="U75" s="253">
        <v>3958.57</v>
      </c>
      <c r="V75" s="253">
        <v>3500</v>
      </c>
      <c r="W75" s="255">
        <f t="shared" ref="W75:W82" si="16">IF(V75=0,"NA",(+U75-V75)/V75)</f>
        <v>0.13102000000000005</v>
      </c>
      <c r="X75" s="257" t="s">
        <v>345</v>
      </c>
      <c r="Y75" s="63" t="s">
        <v>403</v>
      </c>
      <c r="AD75" s="1">
        <f>+$P75*AD$74</f>
        <v>1165.5</v>
      </c>
      <c r="AE75" s="1">
        <f t="shared" ref="AE75:AF80" si="17">+$P75*AE$74</f>
        <v>1165.5</v>
      </c>
      <c r="AF75" s="1">
        <f t="shared" si="17"/>
        <v>1169</v>
      </c>
      <c r="AH75" s="1">
        <f t="shared" ref="AH75:AH80" si="18">+$U75</f>
        <v>3958.57</v>
      </c>
    </row>
    <row r="76" spans="1:35">
      <c r="A76" s="43">
        <v>70</v>
      </c>
      <c r="C76" s="261" t="s">
        <v>34</v>
      </c>
      <c r="D76" s="271"/>
      <c r="E76" s="272"/>
      <c r="F76" s="273"/>
      <c r="G76" s="273"/>
      <c r="H76" s="273"/>
      <c r="I76" s="273"/>
      <c r="J76" s="273"/>
      <c r="K76" s="273"/>
      <c r="L76" s="273"/>
      <c r="M76" s="273"/>
      <c r="N76" s="273"/>
      <c r="O76" s="261"/>
      <c r="P76" s="258">
        <v>2250</v>
      </c>
      <c r="Q76" s="258">
        <v>3250</v>
      </c>
      <c r="R76" s="259">
        <f t="shared" si="14"/>
        <v>-1000</v>
      </c>
      <c r="S76" s="260">
        <f t="shared" si="15"/>
        <v>-0.30769230769230771</v>
      </c>
      <c r="T76" s="261"/>
      <c r="U76" s="258">
        <v>2083.9899999999998</v>
      </c>
      <c r="V76" s="258">
        <v>3250</v>
      </c>
      <c r="W76" s="260">
        <f t="shared" si="16"/>
        <v>-0.35877230769230778</v>
      </c>
      <c r="X76" s="262" t="s">
        <v>455</v>
      </c>
      <c r="Y76" s="63" t="s">
        <v>118</v>
      </c>
      <c r="AD76" s="1">
        <f>+$P76*AD$74</f>
        <v>749.25</v>
      </c>
      <c r="AE76" s="1">
        <f t="shared" si="17"/>
        <v>749.25</v>
      </c>
      <c r="AF76" s="1">
        <f t="shared" si="17"/>
        <v>751.5</v>
      </c>
      <c r="AH76" s="1">
        <f t="shared" si="18"/>
        <v>2083.9899999999998</v>
      </c>
    </row>
    <row r="77" spans="1:35" ht="45" customHeight="1">
      <c r="A77" s="43">
        <v>73</v>
      </c>
      <c r="C77" s="261" t="s">
        <v>35</v>
      </c>
      <c r="D77" s="271"/>
      <c r="E77" s="272"/>
      <c r="F77" s="273"/>
      <c r="G77" s="273"/>
      <c r="H77" s="273"/>
      <c r="I77" s="273"/>
      <c r="J77" s="273"/>
      <c r="K77" s="273"/>
      <c r="L77" s="273"/>
      <c r="M77" s="273"/>
      <c r="N77" s="273"/>
      <c r="O77" s="261"/>
      <c r="P77" s="279">
        <v>13000</v>
      </c>
      <c r="Q77" s="279">
        <v>13000</v>
      </c>
      <c r="R77" s="259">
        <f t="shared" si="14"/>
        <v>0</v>
      </c>
      <c r="S77" s="260">
        <f t="shared" si="15"/>
        <v>0</v>
      </c>
      <c r="T77" s="261"/>
      <c r="U77" s="442">
        <v>16978.37</v>
      </c>
      <c r="V77" s="258">
        <v>13000</v>
      </c>
      <c r="W77" s="260">
        <f t="shared" si="16"/>
        <v>0.30602846153846147</v>
      </c>
      <c r="X77" s="262" t="s">
        <v>346</v>
      </c>
      <c r="Y77" s="63" t="s">
        <v>140</v>
      </c>
      <c r="AD77" s="1">
        <f t="shared" ref="AD77:AD80" si="19">+$P77*AD$74</f>
        <v>4329</v>
      </c>
      <c r="AE77" s="1">
        <f t="shared" si="17"/>
        <v>4329</v>
      </c>
      <c r="AF77" s="1">
        <f t="shared" si="17"/>
        <v>4342</v>
      </c>
      <c r="AH77" s="1">
        <f t="shared" si="18"/>
        <v>16978.37</v>
      </c>
    </row>
    <row r="78" spans="1:35" ht="31.5" customHeight="1">
      <c r="A78" s="43">
        <v>74</v>
      </c>
      <c r="C78" s="261" t="s">
        <v>36</v>
      </c>
      <c r="D78" s="271"/>
      <c r="E78" s="272"/>
      <c r="F78" s="273"/>
      <c r="G78" s="273"/>
      <c r="H78" s="273"/>
      <c r="I78" s="273"/>
      <c r="J78" s="273"/>
      <c r="K78" s="273"/>
      <c r="L78" s="273"/>
      <c r="M78" s="273"/>
      <c r="N78" s="273"/>
      <c r="O78" s="261"/>
      <c r="P78" s="279">
        <v>1200</v>
      </c>
      <c r="Q78" s="279">
        <v>1000</v>
      </c>
      <c r="R78" s="259">
        <f t="shared" si="14"/>
        <v>200</v>
      </c>
      <c r="S78" s="260">
        <f t="shared" si="15"/>
        <v>0.2</v>
      </c>
      <c r="T78" s="261"/>
      <c r="U78" s="258">
        <v>1478.64</v>
      </c>
      <c r="V78" s="258">
        <v>1000</v>
      </c>
      <c r="W78" s="260">
        <f t="shared" si="16"/>
        <v>0.47864000000000012</v>
      </c>
      <c r="X78" s="262" t="s">
        <v>347</v>
      </c>
      <c r="Y78" s="60"/>
      <c r="AD78" s="1">
        <f t="shared" si="19"/>
        <v>399.6</v>
      </c>
      <c r="AE78" s="1">
        <f t="shared" si="17"/>
        <v>399.6</v>
      </c>
      <c r="AF78" s="1">
        <f t="shared" si="17"/>
        <v>400.8</v>
      </c>
      <c r="AH78" s="1">
        <f t="shared" si="18"/>
        <v>1478.64</v>
      </c>
    </row>
    <row r="79" spans="1:35" ht="58.5" thickBot="1">
      <c r="A79" s="43">
        <v>75</v>
      </c>
      <c r="C79" s="266" t="s">
        <v>37</v>
      </c>
      <c r="D79" s="274"/>
      <c r="E79" s="679" t="s">
        <v>164</v>
      </c>
      <c r="F79" s="680"/>
      <c r="G79" s="680"/>
      <c r="H79" s="680"/>
      <c r="I79" s="680"/>
      <c r="J79" s="680"/>
      <c r="K79" s="680"/>
      <c r="L79" s="680"/>
      <c r="M79" s="681"/>
      <c r="N79" s="428"/>
      <c r="O79" s="266"/>
      <c r="P79" s="280">
        <v>1700</v>
      </c>
      <c r="Q79" s="280">
        <v>1700</v>
      </c>
      <c r="R79" s="264">
        <f t="shared" si="14"/>
        <v>0</v>
      </c>
      <c r="S79" s="265">
        <f t="shared" si="15"/>
        <v>0</v>
      </c>
      <c r="T79" s="266"/>
      <c r="U79" s="263">
        <v>1530.51</v>
      </c>
      <c r="V79" s="263">
        <v>1700</v>
      </c>
      <c r="W79" s="265">
        <f t="shared" si="16"/>
        <v>-9.9700000000000011E-2</v>
      </c>
      <c r="X79" s="267" t="s">
        <v>404</v>
      </c>
      <c r="Y79" s="63" t="s">
        <v>132</v>
      </c>
      <c r="AD79" s="1">
        <f t="shared" si="19"/>
        <v>566.1</v>
      </c>
      <c r="AE79" s="1">
        <f t="shared" si="17"/>
        <v>566.1</v>
      </c>
      <c r="AF79" s="1">
        <f t="shared" si="17"/>
        <v>567.80000000000007</v>
      </c>
      <c r="AH79" s="1">
        <f t="shared" si="18"/>
        <v>1530.51</v>
      </c>
    </row>
    <row r="80" spans="1:35" ht="14.5" customHeight="1" thickBot="1">
      <c r="A80" s="43">
        <v>73</v>
      </c>
      <c r="C80" s="261" t="s">
        <v>327</v>
      </c>
      <c r="D80" s="271"/>
      <c r="E80" s="272"/>
      <c r="F80" s="273"/>
      <c r="G80" s="273"/>
      <c r="H80" s="273"/>
      <c r="I80" s="273"/>
      <c r="J80" s="273"/>
      <c r="K80" s="273"/>
      <c r="L80" s="273"/>
      <c r="M80" s="273"/>
      <c r="N80" s="273"/>
      <c r="O80" s="261"/>
      <c r="P80" s="279">
        <f>2000+2000+500</f>
        <v>4500</v>
      </c>
      <c r="Q80" s="279">
        <v>0</v>
      </c>
      <c r="R80" s="259">
        <f t="shared" si="14"/>
        <v>4500</v>
      </c>
      <c r="S80" s="260" t="str">
        <f>IF(Q80=0,"NA",(+P80-Q80)/Q80)</f>
        <v>NA</v>
      </c>
      <c r="T80" s="261"/>
      <c r="U80" s="258">
        <v>537.5</v>
      </c>
      <c r="V80" s="258">
        <v>0</v>
      </c>
      <c r="W80" s="260" t="str">
        <f>IF(V80=0,"NA",(+U80-V80)/V80)</f>
        <v>NA</v>
      </c>
      <c r="X80" s="611" t="s">
        <v>426</v>
      </c>
      <c r="Y80" s="63" t="s">
        <v>140</v>
      </c>
      <c r="AD80" s="1">
        <f t="shared" si="19"/>
        <v>1498.5</v>
      </c>
      <c r="AE80" s="1">
        <f t="shared" si="17"/>
        <v>1498.5</v>
      </c>
      <c r="AF80" s="1">
        <f t="shared" si="17"/>
        <v>1503</v>
      </c>
      <c r="AH80" s="1">
        <f t="shared" si="18"/>
        <v>537.5</v>
      </c>
    </row>
    <row r="81" spans="1:36" s="2" customFormat="1">
      <c r="A81" s="43">
        <v>76</v>
      </c>
      <c r="B81" s="20" t="s">
        <v>39</v>
      </c>
      <c r="C81" s="20"/>
      <c r="D81" s="37"/>
      <c r="E81" s="678">
        <f>Bud_Yr</f>
        <v>2020</v>
      </c>
      <c r="F81" s="653"/>
      <c r="G81" s="653"/>
      <c r="H81" s="653"/>
      <c r="I81" s="653">
        <f>Bud_Yr-1</f>
        <v>2019</v>
      </c>
      <c r="J81" s="653"/>
      <c r="K81" s="653"/>
      <c r="L81" s="653"/>
      <c r="M81" s="97">
        <f>Bud_Yr-2</f>
        <v>2018</v>
      </c>
      <c r="N81" s="429"/>
      <c r="O81" s="37"/>
      <c r="P81" s="20">
        <f>SUM(P75:P80)</f>
        <v>26150</v>
      </c>
      <c r="Q81" s="37">
        <f>SUM(Q75:Q80)</f>
        <v>22450</v>
      </c>
      <c r="R81" s="37">
        <f>SUM(R75:R80)</f>
        <v>3700</v>
      </c>
      <c r="S81" s="21">
        <f t="shared" si="15"/>
        <v>0.16481069042316257</v>
      </c>
      <c r="U81" s="37">
        <f>SUM(U75:U80)</f>
        <v>26567.579999999998</v>
      </c>
      <c r="V81" s="37">
        <f>SUM(V75:V80)</f>
        <v>22450</v>
      </c>
      <c r="W81" s="21">
        <f t="shared" si="16"/>
        <v>0.18341113585746094</v>
      </c>
      <c r="X81" s="101"/>
      <c r="Y81" s="62"/>
    </row>
    <row r="82" spans="1:36" ht="15" thickBot="1">
      <c r="A82" s="43">
        <v>77</v>
      </c>
      <c r="B82" s="20" t="s">
        <v>89</v>
      </c>
      <c r="C82" s="23"/>
      <c r="D82" s="23"/>
      <c r="E82" s="98" t="s">
        <v>162</v>
      </c>
      <c r="F82" s="99" t="s">
        <v>163</v>
      </c>
      <c r="G82" s="99" t="s">
        <v>166</v>
      </c>
      <c r="H82" s="99" t="s">
        <v>161</v>
      </c>
      <c r="I82" s="99" t="s">
        <v>162</v>
      </c>
      <c r="J82" s="99" t="s">
        <v>163</v>
      </c>
      <c r="K82" s="99" t="s">
        <v>166</v>
      </c>
      <c r="L82" s="99" t="s">
        <v>161</v>
      </c>
      <c r="M82" s="100" t="s">
        <v>163</v>
      </c>
      <c r="N82" s="430"/>
      <c r="O82" s="23"/>
      <c r="P82" s="20">
        <f>+P45+P52+P54+P62+P72+P81+P60</f>
        <v>55025</v>
      </c>
      <c r="Q82" s="37">
        <f>+Q45+Q52+Q54+Q62+Q72+Q81+Q60</f>
        <v>52525</v>
      </c>
      <c r="R82" s="37">
        <f>+R45+R52+R54+R62+R72+R81+R60</f>
        <v>2500</v>
      </c>
      <c r="S82" s="21">
        <f t="shared" si="15"/>
        <v>4.7596382674916705E-2</v>
      </c>
      <c r="U82" s="37">
        <f>+U45+U52+U54+U62+U72+U81+U60</f>
        <v>45980.219999999994</v>
      </c>
      <c r="V82" s="37">
        <f>+V45+V52+V54+V62+V72+V81+V60</f>
        <v>52525</v>
      </c>
      <c r="W82" s="21">
        <f t="shared" si="16"/>
        <v>-0.12460314136125666</v>
      </c>
      <c r="X82" s="75"/>
      <c r="Y82" s="60"/>
    </row>
    <row r="83" spans="1:36" ht="8.25" customHeight="1">
      <c r="A83" s="43">
        <v>78</v>
      </c>
      <c r="S83" s="5"/>
      <c r="X83" s="75"/>
      <c r="Y83" s="60"/>
    </row>
    <row r="84" spans="1:36" ht="30" customHeight="1">
      <c r="A84" s="43">
        <v>79</v>
      </c>
      <c r="B84" s="7" t="s">
        <v>38</v>
      </c>
      <c r="F84" s="89">
        <v>0.02</v>
      </c>
      <c r="G84" s="682" t="s">
        <v>102</v>
      </c>
      <c r="H84" s="682"/>
      <c r="K84" s="80" t="s">
        <v>182</v>
      </c>
      <c r="L84" s="89">
        <v>1.4E-2</v>
      </c>
      <c r="O84" s="666" t="s">
        <v>98</v>
      </c>
      <c r="S84" s="5"/>
      <c r="X84" s="75"/>
      <c r="Y84" s="60"/>
    </row>
    <row r="85" spans="1:36" ht="15" customHeight="1">
      <c r="A85" s="43">
        <v>80</v>
      </c>
      <c r="B85" s="2" t="s">
        <v>155</v>
      </c>
      <c r="D85" s="51" t="s">
        <v>243</v>
      </c>
      <c r="F85" s="89">
        <v>0</v>
      </c>
      <c r="G85" s="682" t="s">
        <v>103</v>
      </c>
      <c r="H85" s="682"/>
      <c r="K85" s="80"/>
      <c r="O85" s="666"/>
      <c r="R85" s="127"/>
      <c r="S85" s="5"/>
      <c r="U85" s="128"/>
      <c r="V85" s="35"/>
      <c r="X85" s="63" t="s">
        <v>380</v>
      </c>
      <c r="Y85" s="59"/>
    </row>
    <row r="86" spans="1:36" ht="14.5" customHeight="1">
      <c r="A86" s="43">
        <v>81</v>
      </c>
      <c r="C86" s="256" t="s">
        <v>184</v>
      </c>
      <c r="D86" s="268"/>
      <c r="E86" s="269"/>
      <c r="F86" s="282"/>
      <c r="G86" s="383" t="s">
        <v>311</v>
      </c>
      <c r="H86" s="283"/>
      <c r="I86" s="284"/>
      <c r="J86" s="269"/>
      <c r="K86" s="284"/>
      <c r="L86" s="285"/>
      <c r="M86" s="286"/>
      <c r="N86" s="286"/>
      <c r="O86" s="268"/>
      <c r="P86" s="287">
        <f>+Pastor!I17</f>
        <v>75007</v>
      </c>
      <c r="Q86" s="287">
        <f>+Pastor!G17</f>
        <v>72737</v>
      </c>
      <c r="R86" s="254">
        <f t="shared" ref="R86:R95" si="20">+P86-Q86</f>
        <v>2270</v>
      </c>
      <c r="S86" s="255">
        <f t="shared" ref="S86:S96" si="21">IF(Q86=0,"NA",(+P86-Q86)/Q86)</f>
        <v>3.1208325886412692E-2</v>
      </c>
      <c r="T86" s="256"/>
      <c r="U86" s="253">
        <f>50737+22000</f>
        <v>72737</v>
      </c>
      <c r="V86" s="253">
        <f>50737+22000</f>
        <v>72737</v>
      </c>
      <c r="W86" s="255">
        <f t="shared" ref="W86:W96" si="22">IF(V86=0,"NA",(+U86-V86)/V86)</f>
        <v>0</v>
      </c>
      <c r="X86" s="257"/>
      <c r="Y86" s="63" t="s">
        <v>133</v>
      </c>
    </row>
    <row r="87" spans="1:36">
      <c r="A87" s="43">
        <v>82</v>
      </c>
      <c r="C87" s="261" t="s">
        <v>40</v>
      </c>
      <c r="D87" s="271"/>
      <c r="E87" s="272"/>
      <c r="F87" s="288" t="s">
        <v>312</v>
      </c>
      <c r="G87" s="289">
        <f>+(Pastor!I11+P142+P144+P150)-(Pastor!G11+Q142+Q144+Q150)</f>
        <v>3013</v>
      </c>
      <c r="H87" s="290" t="s">
        <v>394</v>
      </c>
      <c r="I87" s="291"/>
      <c r="J87" s="272"/>
      <c r="K87" s="292"/>
      <c r="L87" s="272"/>
      <c r="M87" s="293"/>
      <c r="N87" s="293"/>
      <c r="O87" s="294"/>
      <c r="P87" s="295">
        <f>+Pastor!I59</f>
        <v>1500</v>
      </c>
      <c r="Q87" s="295">
        <f>+Pastor!G59</f>
        <v>1500</v>
      </c>
      <c r="R87" s="259">
        <f t="shared" si="20"/>
        <v>0</v>
      </c>
      <c r="S87" s="260">
        <f t="shared" si="21"/>
        <v>0</v>
      </c>
      <c r="T87" s="261"/>
      <c r="U87" s="258">
        <v>383.19</v>
      </c>
      <c r="V87" s="258">
        <v>1500</v>
      </c>
      <c r="W87" s="260">
        <f t="shared" si="22"/>
        <v>-0.74453999999999998</v>
      </c>
      <c r="X87" s="262" t="s">
        <v>173</v>
      </c>
      <c r="Y87" s="63"/>
    </row>
    <row r="88" spans="1:36" ht="14.5" customHeight="1">
      <c r="C88" s="261" t="s">
        <v>385</v>
      </c>
      <c r="D88" s="271"/>
      <c r="E88" s="272"/>
      <c r="F88" s="288" t="s">
        <v>313</v>
      </c>
      <c r="G88" s="289">
        <f>(+P129+P135+P136+P138)-(Q129+Q135+Q136+Q138)</f>
        <v>183</v>
      </c>
      <c r="H88" s="272"/>
      <c r="I88" s="272"/>
      <c r="J88" s="290"/>
      <c r="K88" s="272"/>
      <c r="L88" s="272"/>
      <c r="M88" s="272"/>
      <c r="N88" s="272"/>
      <c r="O88" s="294"/>
      <c r="P88" s="295">
        <f>+Pastor!I22</f>
        <v>5738</v>
      </c>
      <c r="Q88" s="302">
        <f>+Pastor!G22</f>
        <v>5564.3805000000002</v>
      </c>
      <c r="R88" s="259">
        <f t="shared" si="20"/>
        <v>173.61949999999979</v>
      </c>
      <c r="S88" s="260">
        <f>IF(Q88=0,"NA",(+P88-Q88)/Q88)</f>
        <v>3.1201946020765436E-2</v>
      </c>
      <c r="T88" s="261"/>
      <c r="U88" s="258">
        <v>5564</v>
      </c>
      <c r="V88" s="258">
        <v>5564</v>
      </c>
      <c r="W88" s="260">
        <f>IF(V88=0,"NA",(+U88-V88)/V88)</f>
        <v>0</v>
      </c>
      <c r="X88" s="262" t="s">
        <v>242</v>
      </c>
      <c r="Y88" s="63"/>
    </row>
    <row r="89" spans="1:36" ht="43.5" hidden="1">
      <c r="C89" s="654" t="s">
        <v>181</v>
      </c>
      <c r="D89" s="654"/>
      <c r="E89" s="296"/>
      <c r="F89" s="297" t="s">
        <v>238</v>
      </c>
      <c r="G89" s="298">
        <f>+G87+G88</f>
        <v>3196</v>
      </c>
      <c r="H89" s="299"/>
      <c r="I89" s="295"/>
      <c r="J89" s="300"/>
      <c r="K89" s="272"/>
      <c r="L89" s="656"/>
      <c r="M89" s="656"/>
      <c r="N89" s="656"/>
      <c r="O89" s="656"/>
      <c r="P89" s="279">
        <v>0</v>
      </c>
      <c r="Q89" s="279">
        <v>0</v>
      </c>
      <c r="R89" s="259">
        <f>+P89-Q89</f>
        <v>0</v>
      </c>
      <c r="S89" s="260" t="str">
        <f>IF(Q89=0,"NA",(+P89-Q89)/Q89)</f>
        <v>NA</v>
      </c>
      <c r="T89" s="261"/>
      <c r="U89" s="258">
        <v>0</v>
      </c>
      <c r="V89" s="258">
        <v>0</v>
      </c>
      <c r="W89" s="260" t="str">
        <f>IF(V89=0,"NA",(+U89-V89)/V89)</f>
        <v>NA</v>
      </c>
      <c r="X89" s="262" t="s">
        <v>218</v>
      </c>
      <c r="Y89" s="63"/>
    </row>
    <row r="90" spans="1:36" ht="14" customHeight="1">
      <c r="C90" s="261" t="s">
        <v>175</v>
      </c>
      <c r="D90" s="271"/>
      <c r="E90" s="272"/>
      <c r="F90" s="300"/>
      <c r="G90" s="272"/>
      <c r="H90" s="301"/>
      <c r="I90" s="272"/>
      <c r="J90" s="272"/>
      <c r="K90" s="272"/>
      <c r="L90" s="272"/>
      <c r="M90" s="272"/>
      <c r="N90" s="272"/>
      <c r="O90" s="302"/>
      <c r="P90" s="295">
        <f>+Pastor!I45</f>
        <v>14130</v>
      </c>
      <c r="Q90" s="295">
        <f>+Pastor!G42</f>
        <v>16110</v>
      </c>
      <c r="R90" s="259">
        <f>+P90-Q90</f>
        <v>-1980</v>
      </c>
      <c r="S90" s="260">
        <f>IF(Q90=0,"NA",(+P90-Q90)/Q90)</f>
        <v>-0.12290502793296089</v>
      </c>
      <c r="T90" s="261"/>
      <c r="U90" s="258">
        <v>15425.28</v>
      </c>
      <c r="V90" s="279">
        <v>16110</v>
      </c>
      <c r="W90" s="260">
        <f>IF(V90=0,"NA",(+U90-V90)/V90)</f>
        <v>-4.2502793296089345E-2</v>
      </c>
      <c r="X90" s="262" t="s">
        <v>235</v>
      </c>
      <c r="Y90" s="67" t="s">
        <v>146</v>
      </c>
    </row>
    <row r="91" spans="1:36" ht="14.4" hidden="1" customHeight="1">
      <c r="C91" s="261" t="s">
        <v>177</v>
      </c>
      <c r="D91" s="271"/>
      <c r="E91" s="272"/>
      <c r="F91" s="272"/>
      <c r="G91" s="272"/>
      <c r="H91" s="303"/>
      <c r="I91" s="272"/>
      <c r="J91" s="272"/>
      <c r="K91" s="272"/>
      <c r="L91" s="272"/>
      <c r="M91" s="272"/>
      <c r="N91" s="272"/>
      <c r="O91" s="304"/>
      <c r="P91" s="295">
        <v>0</v>
      </c>
      <c r="Q91" s="279">
        <v>0</v>
      </c>
      <c r="R91" s="259">
        <f>+P91-Q91</f>
        <v>0</v>
      </c>
      <c r="S91" s="260" t="str">
        <f>IF(Q91=0,"NA",(+P91-Q91)/Q91)</f>
        <v>NA</v>
      </c>
      <c r="T91" s="261"/>
      <c r="U91" s="258">
        <v>0</v>
      </c>
      <c r="V91" s="279">
        <v>0</v>
      </c>
      <c r="W91" s="260" t="str">
        <f>IF(V91=0,"NA",(+U91-V91)/V91)</f>
        <v>NA</v>
      </c>
      <c r="X91" s="262" t="s">
        <v>405</v>
      </c>
      <c r="Y91" s="67" t="s">
        <v>146</v>
      </c>
    </row>
    <row r="92" spans="1:36" ht="14.4" customHeight="1">
      <c r="A92" s="43">
        <v>83</v>
      </c>
      <c r="C92" s="261" t="s">
        <v>176</v>
      </c>
      <c r="D92" s="271"/>
      <c r="E92" s="293"/>
      <c r="F92" s="303"/>
      <c r="G92" s="293"/>
      <c r="H92" s="303"/>
      <c r="I92" s="293"/>
      <c r="J92" s="303"/>
      <c r="K92" s="306"/>
      <c r="L92" s="272"/>
      <c r="M92" s="272"/>
      <c r="N92" s="272"/>
      <c r="O92" s="302"/>
      <c r="P92" s="295">
        <f>+Pastor!I56</f>
        <v>2342</v>
      </c>
      <c r="Q92" s="295">
        <f>+Pastor!G56</f>
        <v>2662</v>
      </c>
      <c r="R92" s="259">
        <f t="shared" si="20"/>
        <v>-320</v>
      </c>
      <c r="S92" s="260">
        <f t="shared" si="21"/>
        <v>-0.12021036814425244</v>
      </c>
      <c r="T92" s="261"/>
      <c r="U92" s="258">
        <v>2662.32</v>
      </c>
      <c r="V92" s="279">
        <v>2662</v>
      </c>
      <c r="W92" s="260">
        <f t="shared" si="22"/>
        <v>1.2021036814431395E-4</v>
      </c>
      <c r="X92" s="305" t="s">
        <v>183</v>
      </c>
      <c r="Y92" s="67" t="s">
        <v>146</v>
      </c>
    </row>
    <row r="93" spans="1:36">
      <c r="C93" s="261" t="s">
        <v>107</v>
      </c>
      <c r="D93" s="271"/>
      <c r="E93" s="272"/>
      <c r="F93" s="272"/>
      <c r="G93" s="272"/>
      <c r="H93" s="272"/>
      <c r="I93" s="272"/>
      <c r="J93" s="272"/>
      <c r="K93" s="272"/>
      <c r="L93" s="272"/>
      <c r="M93" s="272"/>
      <c r="N93" s="272"/>
      <c r="O93" s="302"/>
      <c r="P93" s="295">
        <f>+Pastor!I61</f>
        <v>600</v>
      </c>
      <c r="Q93" s="302">
        <f>+Pastor!G61</f>
        <v>600</v>
      </c>
      <c r="R93" s="259">
        <f t="shared" si="20"/>
        <v>0</v>
      </c>
      <c r="S93" s="260">
        <f>IF(Q93=0,"NA",(+P93-Q93)/Q93)</f>
        <v>0</v>
      </c>
      <c r="T93" s="261"/>
      <c r="U93" s="258">
        <v>295.77999999999997</v>
      </c>
      <c r="V93" s="258">
        <v>600</v>
      </c>
      <c r="W93" s="260">
        <f>IF(V93=0,"NA",(+U93-V93)/V93)</f>
        <v>-0.50703333333333334</v>
      </c>
      <c r="X93" s="262" t="s">
        <v>174</v>
      </c>
      <c r="Y93" s="63"/>
    </row>
    <row r="94" spans="1:36">
      <c r="C94" s="261" t="s">
        <v>232</v>
      </c>
      <c r="D94" s="271"/>
      <c r="E94" s="272"/>
      <c r="F94" s="273"/>
      <c r="G94" s="273"/>
      <c r="H94" s="273"/>
      <c r="I94" s="273"/>
      <c r="J94" s="273"/>
      <c r="K94" s="273"/>
      <c r="L94" s="273"/>
      <c r="M94" s="273"/>
      <c r="N94" s="273"/>
      <c r="O94" s="307"/>
      <c r="P94" s="295">
        <f>+Pastor!I62</f>
        <v>480</v>
      </c>
      <c r="Q94" s="302">
        <f>+Pastor!G62</f>
        <v>480</v>
      </c>
      <c r="R94" s="259">
        <f>+P94-Q94</f>
        <v>0</v>
      </c>
      <c r="S94" s="260">
        <f>IF(Q94=0,"NA",(+P94-Q94)/Q94)</f>
        <v>0</v>
      </c>
      <c r="T94" s="261"/>
      <c r="U94" s="258">
        <v>480</v>
      </c>
      <c r="V94" s="258">
        <v>480</v>
      </c>
      <c r="W94" s="260">
        <f>IF(V94=0,"NA",(+U94-V94)/V94)</f>
        <v>0</v>
      </c>
      <c r="X94" s="262" t="s">
        <v>244</v>
      </c>
      <c r="Y94" s="63"/>
    </row>
    <row r="95" spans="1:36" ht="29">
      <c r="A95" s="43">
        <v>85</v>
      </c>
      <c r="C95" s="266" t="s">
        <v>41</v>
      </c>
      <c r="D95" s="274"/>
      <c r="E95" s="275"/>
      <c r="F95" s="276"/>
      <c r="G95" s="276"/>
      <c r="H95" s="276"/>
      <c r="I95" s="276"/>
      <c r="J95" s="276"/>
      <c r="K95" s="276"/>
      <c r="L95" s="276"/>
      <c r="M95" s="276"/>
      <c r="N95" s="276"/>
      <c r="O95" s="308"/>
      <c r="P95" s="309">
        <f>+Pastor!I60</f>
        <v>1000</v>
      </c>
      <c r="Q95" s="427">
        <f>+Pastor!G60</f>
        <v>1000</v>
      </c>
      <c r="R95" s="264">
        <f t="shared" si="20"/>
        <v>0</v>
      </c>
      <c r="S95" s="265">
        <f t="shared" si="21"/>
        <v>0</v>
      </c>
      <c r="T95" s="266"/>
      <c r="U95" s="263">
        <v>1000</v>
      </c>
      <c r="V95" s="263">
        <v>1000</v>
      </c>
      <c r="W95" s="265">
        <f t="shared" si="22"/>
        <v>0</v>
      </c>
      <c r="X95" s="267" t="s">
        <v>406</v>
      </c>
      <c r="Y95" s="63"/>
      <c r="AD95" s="421">
        <v>0.4</v>
      </c>
      <c r="AE95" s="421">
        <v>0.2</v>
      </c>
      <c r="AF95" s="421">
        <v>0.4</v>
      </c>
      <c r="AH95" s="35">
        <f>+AD95</f>
        <v>0.4</v>
      </c>
      <c r="AI95" s="35">
        <f>+AE95</f>
        <v>0.2</v>
      </c>
      <c r="AJ95" s="35">
        <f>+AF95</f>
        <v>0.4</v>
      </c>
    </row>
    <row r="96" spans="1:36" s="2" customFormat="1">
      <c r="A96" s="43">
        <v>86</v>
      </c>
      <c r="B96" s="24" t="s">
        <v>156</v>
      </c>
      <c r="C96" s="24"/>
      <c r="D96" s="24"/>
      <c r="E96" s="90"/>
      <c r="F96" s="90"/>
      <c r="G96" s="90"/>
      <c r="H96" s="90"/>
      <c r="I96" s="90"/>
      <c r="J96" s="90"/>
      <c r="K96" s="90"/>
      <c r="L96" s="90"/>
      <c r="M96" s="90"/>
      <c r="N96" s="90"/>
      <c r="O96" s="24"/>
      <c r="P96" s="24">
        <f>SUM(P86:P95)</f>
        <v>100797</v>
      </c>
      <c r="Q96" s="24">
        <f>SUM(Q86:Q95)</f>
        <v>100653.3805</v>
      </c>
      <c r="R96" s="24">
        <f>SUM(R86:R95)</f>
        <v>143.61949999999979</v>
      </c>
      <c r="S96" s="25">
        <f t="shared" si="21"/>
        <v>1.4268720959650302E-3</v>
      </c>
      <c r="U96" s="24">
        <f>SUM(U86:U95)</f>
        <v>98547.57</v>
      </c>
      <c r="V96" s="24">
        <f>SUM(V86:V95)</f>
        <v>100653</v>
      </c>
      <c r="W96" s="25">
        <f t="shared" si="22"/>
        <v>-2.091770737086816E-2</v>
      </c>
      <c r="X96" s="76"/>
      <c r="Y96" s="62"/>
      <c r="AD96" s="2">
        <f>+P96*AD95</f>
        <v>40318.800000000003</v>
      </c>
      <c r="AE96" s="2">
        <f>+P96*AE95</f>
        <v>20159.400000000001</v>
      </c>
      <c r="AF96" s="2">
        <f>+P96*AF95</f>
        <v>40318.800000000003</v>
      </c>
      <c r="AH96" s="2">
        <f>+U96*AH95</f>
        <v>39419.028000000006</v>
      </c>
      <c r="AI96" s="2">
        <f>+U96*AI95</f>
        <v>19709.514000000003</v>
      </c>
      <c r="AJ96" s="2">
        <f>+U96*AJ95</f>
        <v>39419.028000000006</v>
      </c>
    </row>
    <row r="97" spans="1:36" ht="6.75" customHeight="1">
      <c r="A97" s="43">
        <v>87</v>
      </c>
      <c r="S97" s="5"/>
      <c r="X97" s="75"/>
      <c r="Y97" s="60"/>
    </row>
    <row r="98" spans="1:36" ht="15" customHeight="1">
      <c r="A98" s="43">
        <v>80</v>
      </c>
      <c r="B98" s="2" t="s">
        <v>378</v>
      </c>
      <c r="D98" s="51" t="s">
        <v>387</v>
      </c>
      <c r="F98" s="484"/>
      <c r="G98" s="655"/>
      <c r="H98" s="655"/>
      <c r="R98" s="127"/>
      <c r="S98" s="39"/>
      <c r="U98" s="128"/>
      <c r="V98" s="35"/>
      <c r="W98" s="39"/>
      <c r="X98" s="63" t="s">
        <v>198</v>
      </c>
      <c r="Y98" s="59"/>
    </row>
    <row r="99" spans="1:36" ht="14.5" customHeight="1">
      <c r="A99" s="43">
        <v>81</v>
      </c>
      <c r="C99" s="256" t="s">
        <v>184</v>
      </c>
      <c r="D99" s="268"/>
      <c r="E99" s="269"/>
      <c r="F99" s="282"/>
      <c r="G99" s="383"/>
      <c r="H99" s="283"/>
      <c r="I99" s="284"/>
      <c r="J99" s="269"/>
      <c r="K99" s="284"/>
      <c r="L99" s="285"/>
      <c r="M99" s="286"/>
      <c r="N99" s="286"/>
      <c r="O99" s="268"/>
      <c r="P99" s="287">
        <f>+'Assoc. Pastor'!C23</f>
        <v>29145</v>
      </c>
      <c r="Q99" s="281">
        <v>0</v>
      </c>
      <c r="R99" s="254">
        <f t="shared" ref="R99:R101" si="23">+P99-Q99</f>
        <v>29145</v>
      </c>
      <c r="S99" s="255" t="str">
        <f t="shared" ref="S99:S100" si="24">IF(Q99=0,"NA",(+P99-Q99)/Q99)</f>
        <v>NA</v>
      </c>
      <c r="T99" s="256"/>
      <c r="U99" s="253">
        <v>0</v>
      </c>
      <c r="V99" s="253">
        <v>0</v>
      </c>
      <c r="W99" s="255" t="str">
        <f t="shared" ref="W99:W100" si="25">IF(V99=0,"NA",(+U99-V99)/V99)</f>
        <v>NA</v>
      </c>
      <c r="X99" s="257" t="s">
        <v>386</v>
      </c>
      <c r="Y99" s="63" t="s">
        <v>133</v>
      </c>
    </row>
    <row r="100" spans="1:36">
      <c r="A100" s="43">
        <v>82</v>
      </c>
      <c r="C100" s="261" t="s">
        <v>40</v>
      </c>
      <c r="D100" s="271"/>
      <c r="E100" s="272"/>
      <c r="F100" s="288"/>
      <c r="G100" s="289"/>
      <c r="H100" s="290"/>
      <c r="I100" s="291"/>
      <c r="J100" s="272"/>
      <c r="K100" s="292"/>
      <c r="L100" s="272"/>
      <c r="M100" s="293"/>
      <c r="N100" s="293"/>
      <c r="O100" s="294"/>
      <c r="P100" s="295">
        <f>+'Assoc. Pastor'!C54</f>
        <v>600</v>
      </c>
      <c r="Q100" s="279">
        <v>0</v>
      </c>
      <c r="R100" s="259">
        <f t="shared" si="23"/>
        <v>600</v>
      </c>
      <c r="S100" s="260" t="str">
        <f t="shared" si="24"/>
        <v>NA</v>
      </c>
      <c r="T100" s="261"/>
      <c r="U100" s="258">
        <v>0</v>
      </c>
      <c r="V100" s="258">
        <v>0</v>
      </c>
      <c r="W100" s="260" t="str">
        <f t="shared" si="25"/>
        <v>NA</v>
      </c>
      <c r="X100" s="262"/>
      <c r="Y100" s="63"/>
    </row>
    <row r="101" spans="1:36" ht="14.5" customHeight="1">
      <c r="C101" s="261" t="s">
        <v>385</v>
      </c>
      <c r="D101" s="271"/>
      <c r="E101" s="272"/>
      <c r="F101" s="288"/>
      <c r="G101" s="289"/>
      <c r="H101" s="272"/>
      <c r="I101" s="272"/>
      <c r="J101" s="290"/>
      <c r="K101" s="272"/>
      <c r="L101" s="272"/>
      <c r="M101" s="272"/>
      <c r="N101" s="272"/>
      <c r="O101" s="294"/>
      <c r="P101" s="295">
        <f>+'Assoc. Pastor'!C28</f>
        <v>2230</v>
      </c>
      <c r="Q101" s="279">
        <v>0</v>
      </c>
      <c r="R101" s="259">
        <f t="shared" si="23"/>
        <v>2230</v>
      </c>
      <c r="S101" s="260" t="str">
        <f>IF(Q101=0,"NA",(+P101-Q101)/Q101)</f>
        <v>NA</v>
      </c>
      <c r="T101" s="261"/>
      <c r="U101" s="258">
        <v>0</v>
      </c>
      <c r="V101" s="258">
        <v>0</v>
      </c>
      <c r="W101" s="260" t="str">
        <f>IF(V101=0,"NA",(+U101-V101)/V101)</f>
        <v>NA</v>
      </c>
      <c r="X101" s="262" t="s">
        <v>242</v>
      </c>
      <c r="Y101" s="63"/>
      <c r="AA101" s="476"/>
    </row>
    <row r="102" spans="1:36" ht="43.5" hidden="1">
      <c r="C102" s="654" t="s">
        <v>181</v>
      </c>
      <c r="D102" s="654"/>
      <c r="E102" s="296"/>
      <c r="F102" s="297" t="s">
        <v>238</v>
      </c>
      <c r="G102" s="298">
        <f>+G100+G101</f>
        <v>0</v>
      </c>
      <c r="H102" s="299"/>
      <c r="I102" s="295"/>
      <c r="J102" s="300"/>
      <c r="K102" s="272"/>
      <c r="L102" s="656"/>
      <c r="M102" s="656"/>
      <c r="N102" s="656"/>
      <c r="O102" s="656"/>
      <c r="P102" s="279">
        <v>0</v>
      </c>
      <c r="Q102" s="279">
        <v>0</v>
      </c>
      <c r="R102" s="259">
        <f>+P102-Q102</f>
        <v>0</v>
      </c>
      <c r="S102" s="260" t="str">
        <f>IF(Q102=0,"NA",(+P102-Q102)/Q102)</f>
        <v>NA</v>
      </c>
      <c r="T102" s="261"/>
      <c r="U102" s="258">
        <v>0</v>
      </c>
      <c r="V102" s="258">
        <v>0</v>
      </c>
      <c r="W102" s="260" t="str">
        <f>IF(V102=0,"NA",(+U102-V102)/V102)</f>
        <v>NA</v>
      </c>
      <c r="X102" s="262" t="s">
        <v>218</v>
      </c>
      <c r="Y102" s="63"/>
    </row>
    <row r="103" spans="1:36" ht="14" customHeight="1">
      <c r="C103" s="261" t="s">
        <v>175</v>
      </c>
      <c r="D103" s="271"/>
      <c r="E103" s="272"/>
      <c r="F103" s="300"/>
      <c r="G103" s="272"/>
      <c r="H103" s="301"/>
      <c r="I103" s="272"/>
      <c r="J103" s="272"/>
      <c r="K103" s="272"/>
      <c r="L103" s="272"/>
      <c r="M103" s="272"/>
      <c r="N103" s="272"/>
      <c r="O103" s="302"/>
      <c r="P103" s="295">
        <f>+'Assoc. Pastor'!C42</f>
        <v>3138</v>
      </c>
      <c r="Q103" s="279">
        <v>0</v>
      </c>
      <c r="R103" s="259">
        <f>+P103-Q103</f>
        <v>3138</v>
      </c>
      <c r="S103" s="260" t="str">
        <f>IF(Q103=0,"NA",(+P103-Q103)/Q103)</f>
        <v>NA</v>
      </c>
      <c r="T103" s="261"/>
      <c r="U103" s="258">
        <v>0</v>
      </c>
      <c r="V103" s="279">
        <v>0</v>
      </c>
      <c r="W103" s="260" t="str">
        <f>IF(V103=0,"NA",(+U103-V103)/V103)</f>
        <v>NA</v>
      </c>
      <c r="X103" s="262" t="s">
        <v>235</v>
      </c>
      <c r="Y103" s="67" t="s">
        <v>146</v>
      </c>
    </row>
    <row r="104" spans="1:36" ht="14.4" hidden="1" customHeight="1">
      <c r="C104" s="261" t="s">
        <v>177</v>
      </c>
      <c r="D104" s="271"/>
      <c r="E104" s="272"/>
      <c r="F104" s="272"/>
      <c r="G104" s="272"/>
      <c r="H104" s="303"/>
      <c r="I104" s="272"/>
      <c r="J104" s="272"/>
      <c r="K104" s="272"/>
      <c r="L104" s="272"/>
      <c r="M104" s="272"/>
      <c r="N104" s="272"/>
      <c r="O104" s="304"/>
      <c r="P104" s="295">
        <v>0</v>
      </c>
      <c r="Q104" s="279">
        <v>0</v>
      </c>
      <c r="R104" s="259">
        <f>+P104-Q104</f>
        <v>0</v>
      </c>
      <c r="S104" s="260" t="str">
        <f>IF(Q104=0,"NA",(+P104-Q104)/Q104)</f>
        <v>NA</v>
      </c>
      <c r="T104" s="261"/>
      <c r="U104" s="258">
        <v>0</v>
      </c>
      <c r="V104" s="279">
        <v>0</v>
      </c>
      <c r="W104" s="260" t="str">
        <f>IF(V104=0,"NA",(+U104-V104)/V104)</f>
        <v>NA</v>
      </c>
      <c r="X104" s="262" t="s">
        <v>405</v>
      </c>
      <c r="Y104" s="67" t="s">
        <v>146</v>
      </c>
    </row>
    <row r="105" spans="1:36" ht="14.4" customHeight="1">
      <c r="C105" s="261" t="s">
        <v>389</v>
      </c>
      <c r="D105" s="271"/>
      <c r="E105" s="272"/>
      <c r="F105" s="272"/>
      <c r="G105" s="272"/>
      <c r="H105" s="303"/>
      <c r="I105" s="272"/>
      <c r="J105" s="272"/>
      <c r="K105" s="272"/>
      <c r="L105" s="272"/>
      <c r="M105" s="272"/>
      <c r="N105" s="272"/>
      <c r="O105" s="304"/>
      <c r="P105" s="295">
        <f>+'Assoc. Pastor'!C33</f>
        <v>11013</v>
      </c>
      <c r="Q105" s="279">
        <v>0</v>
      </c>
      <c r="R105" s="259">
        <f>+P105-Q105</f>
        <v>11013</v>
      </c>
      <c r="S105" s="260" t="str">
        <f>IF(Q105=0,"NA",(+P105-Q105)/Q105)</f>
        <v>NA</v>
      </c>
      <c r="T105" s="261"/>
      <c r="U105" s="258">
        <v>0</v>
      </c>
      <c r="V105" s="279">
        <v>0</v>
      </c>
      <c r="W105" s="260" t="str">
        <f>IF(V105=0,"NA",(+U105-V105)/V105)</f>
        <v>NA</v>
      </c>
      <c r="X105" s="262" t="s">
        <v>390</v>
      </c>
      <c r="Y105" s="67"/>
    </row>
    <row r="106" spans="1:36" ht="14.4" customHeight="1">
      <c r="A106" s="43">
        <v>83</v>
      </c>
      <c r="C106" s="261" t="s">
        <v>176</v>
      </c>
      <c r="D106" s="271"/>
      <c r="E106" s="293"/>
      <c r="F106" s="303"/>
      <c r="G106" s="293"/>
      <c r="H106" s="303"/>
      <c r="I106" s="293"/>
      <c r="J106" s="303"/>
      <c r="K106" s="306"/>
      <c r="L106" s="272"/>
      <c r="M106" s="272"/>
      <c r="N106" s="272"/>
      <c r="O106" s="302"/>
      <c r="P106" s="295">
        <f>+'Assoc. Pastor'!C51</f>
        <v>910</v>
      </c>
      <c r="Q106" s="279">
        <v>0</v>
      </c>
      <c r="R106" s="259">
        <f t="shared" ref="R106:R107" si="26">+P106-Q106</f>
        <v>910</v>
      </c>
      <c r="S106" s="260" t="str">
        <f t="shared" ref="S106" si="27">IF(Q106=0,"NA",(+P106-Q106)/Q106)</f>
        <v>NA</v>
      </c>
      <c r="T106" s="261"/>
      <c r="U106" s="258">
        <v>0</v>
      </c>
      <c r="V106" s="279">
        <v>0</v>
      </c>
      <c r="W106" s="260" t="str">
        <f t="shared" ref="W106" si="28">IF(V106=0,"NA",(+U106-V106)/V106)</f>
        <v>NA</v>
      </c>
      <c r="X106" s="305" t="s">
        <v>183</v>
      </c>
      <c r="Y106" s="67" t="s">
        <v>146</v>
      </c>
    </row>
    <row r="107" spans="1:36">
      <c r="C107" s="261" t="s">
        <v>107</v>
      </c>
      <c r="D107" s="271"/>
      <c r="E107" s="272"/>
      <c r="F107" s="272"/>
      <c r="G107" s="272"/>
      <c r="H107" s="272"/>
      <c r="I107" s="272"/>
      <c r="J107" s="272"/>
      <c r="K107" s="272"/>
      <c r="L107" s="272"/>
      <c r="M107" s="272"/>
      <c r="N107" s="272"/>
      <c r="O107" s="302"/>
      <c r="P107" s="295">
        <f>+'Assoc. Pastor'!C56</f>
        <v>300</v>
      </c>
      <c r="Q107" s="279">
        <v>0</v>
      </c>
      <c r="R107" s="259">
        <f t="shared" si="26"/>
        <v>300</v>
      </c>
      <c r="S107" s="260" t="str">
        <f>IF(Q107=0,"NA",(+P107-Q107)/Q107)</f>
        <v>NA</v>
      </c>
      <c r="T107" s="261"/>
      <c r="U107" s="258">
        <v>0</v>
      </c>
      <c r="V107" s="258">
        <v>0</v>
      </c>
      <c r="W107" s="260" t="str">
        <f>IF(V107=0,"NA",(+U107-V107)/V107)</f>
        <v>NA</v>
      </c>
      <c r="X107" s="262"/>
      <c r="Y107" s="63"/>
    </row>
    <row r="108" spans="1:36">
      <c r="C108" s="261" t="s">
        <v>232</v>
      </c>
      <c r="D108" s="271"/>
      <c r="E108" s="272"/>
      <c r="F108" s="273"/>
      <c r="G108" s="273"/>
      <c r="H108" s="273"/>
      <c r="I108" s="273"/>
      <c r="J108" s="273"/>
      <c r="K108" s="273"/>
      <c r="L108" s="273"/>
      <c r="M108" s="273"/>
      <c r="N108" s="273"/>
      <c r="O108" s="307"/>
      <c r="P108" s="295">
        <f>+'Assoc. Pastor'!C57</f>
        <v>240</v>
      </c>
      <c r="Q108" s="279">
        <v>0</v>
      </c>
      <c r="R108" s="259">
        <f>+P108-Q108</f>
        <v>240</v>
      </c>
      <c r="S108" s="260" t="str">
        <f>IF(Q108=0,"NA",(+P108-Q108)/Q108)</f>
        <v>NA</v>
      </c>
      <c r="T108" s="261"/>
      <c r="U108" s="258">
        <v>0</v>
      </c>
      <c r="V108" s="258">
        <v>0</v>
      </c>
      <c r="W108" s="260" t="str">
        <f>IF(V108=0,"NA",(+U108-V108)/V108)</f>
        <v>NA</v>
      </c>
      <c r="X108" s="262" t="s">
        <v>244</v>
      </c>
      <c r="Y108" s="63"/>
    </row>
    <row r="109" spans="1:36">
      <c r="A109" s="43">
        <v>85</v>
      </c>
      <c r="C109" s="261" t="s">
        <v>41</v>
      </c>
      <c r="D109" s="271"/>
      <c r="E109" s="272"/>
      <c r="F109" s="273"/>
      <c r="G109" s="273"/>
      <c r="H109" s="273"/>
      <c r="I109" s="273"/>
      <c r="J109" s="273"/>
      <c r="K109" s="273"/>
      <c r="L109" s="273"/>
      <c r="M109" s="273"/>
      <c r="N109" s="273"/>
      <c r="O109" s="320"/>
      <c r="P109" s="295">
        <f>+'Assoc. Pastor'!C55</f>
        <v>375</v>
      </c>
      <c r="Q109" s="279">
        <v>0</v>
      </c>
      <c r="R109" s="259">
        <f t="shared" ref="R109:R110" si="29">+P109-Q109</f>
        <v>375</v>
      </c>
      <c r="S109" s="260" t="str">
        <f t="shared" ref="S109:S111" si="30">IF(Q109=0,"NA",(+P109-Q109)/Q109)</f>
        <v>NA</v>
      </c>
      <c r="T109" s="261"/>
      <c r="U109" s="258">
        <v>0</v>
      </c>
      <c r="V109" s="258">
        <v>0</v>
      </c>
      <c r="W109" s="260" t="str">
        <f t="shared" ref="W109:W111" si="31">IF(V109=0,"NA",(+U109-V109)/V109)</f>
        <v>NA</v>
      </c>
      <c r="X109" s="262"/>
      <c r="Y109" s="63"/>
      <c r="AD109" s="421">
        <v>0.4</v>
      </c>
      <c r="AE109" s="421">
        <v>0.4</v>
      </c>
      <c r="AF109" s="421">
        <v>0.2</v>
      </c>
      <c r="AH109" s="35">
        <f>+AD109</f>
        <v>0.4</v>
      </c>
      <c r="AI109" s="35">
        <f>+AE109</f>
        <v>0.4</v>
      </c>
      <c r="AJ109" s="35">
        <f>+AF109</f>
        <v>0.2</v>
      </c>
    </row>
    <row r="110" spans="1:36">
      <c r="C110" s="261" t="s">
        <v>377</v>
      </c>
      <c r="D110" s="271"/>
      <c r="E110" s="272"/>
      <c r="F110" s="273"/>
      <c r="G110" s="273"/>
      <c r="H110" s="273"/>
      <c r="I110" s="273"/>
      <c r="J110" s="273"/>
      <c r="K110" s="273"/>
      <c r="L110" s="273"/>
      <c r="M110" s="273"/>
      <c r="N110" s="273"/>
      <c r="O110" s="320"/>
      <c r="P110" s="295">
        <f>+'Assoc. Pastor'!C58</f>
        <v>300</v>
      </c>
      <c r="Q110" s="279">
        <v>0</v>
      </c>
      <c r="R110" s="259">
        <f t="shared" si="29"/>
        <v>300</v>
      </c>
      <c r="S110" s="260" t="str">
        <f t="shared" si="30"/>
        <v>NA</v>
      </c>
      <c r="T110" s="261"/>
      <c r="U110" s="258">
        <v>0</v>
      </c>
      <c r="V110" s="258">
        <v>0</v>
      </c>
      <c r="W110" s="260" t="str">
        <f t="shared" ref="W110" si="32">IF(V110=0,"NA",(+U110-V110)/V110)</f>
        <v>NA</v>
      </c>
      <c r="X110" s="262"/>
      <c r="Y110" s="63"/>
      <c r="AD110" s="421"/>
      <c r="AE110" s="421"/>
      <c r="AF110" s="421"/>
      <c r="AH110" s="35"/>
      <c r="AI110" s="35"/>
      <c r="AJ110" s="35"/>
    </row>
    <row r="111" spans="1:36" s="2" customFormat="1">
      <c r="A111" s="43">
        <v>86</v>
      </c>
      <c r="B111" s="24" t="s">
        <v>379</v>
      </c>
      <c r="C111" s="24"/>
      <c r="D111" s="24"/>
      <c r="E111" s="90"/>
      <c r="F111" s="90"/>
      <c r="G111" s="90"/>
      <c r="H111" s="90"/>
      <c r="I111" s="90"/>
      <c r="J111" s="90"/>
      <c r="K111" s="90"/>
      <c r="L111" s="90"/>
      <c r="M111" s="90"/>
      <c r="N111" s="90"/>
      <c r="O111" s="24"/>
      <c r="P111" s="24">
        <f>SUM(P99:P110)</f>
        <v>48251</v>
      </c>
      <c r="Q111" s="24">
        <f>SUM(Q99:Q110)</f>
        <v>0</v>
      </c>
      <c r="R111" s="24">
        <f>SUM(R99:R110)</f>
        <v>48251</v>
      </c>
      <c r="S111" s="25" t="str">
        <f t="shared" si="30"/>
        <v>NA</v>
      </c>
      <c r="U111" s="24">
        <f>SUM(U99:U110)</f>
        <v>0</v>
      </c>
      <c r="V111" s="24">
        <f>SUM(V99:V110)</f>
        <v>0</v>
      </c>
      <c r="W111" s="25" t="str">
        <f t="shared" si="31"/>
        <v>NA</v>
      </c>
      <c r="X111" s="76"/>
      <c r="Y111" s="62"/>
      <c r="AD111" s="2">
        <f>+P111*AD109</f>
        <v>19300.400000000001</v>
      </c>
      <c r="AE111" s="2">
        <f>+P111*AE109</f>
        <v>19300.400000000001</v>
      </c>
      <c r="AF111" s="2">
        <f>+P111*AF109</f>
        <v>9650.2000000000007</v>
      </c>
      <c r="AH111" s="2">
        <f>+U111*AH109</f>
        <v>0</v>
      </c>
      <c r="AI111" s="2">
        <f>+U111*AI109</f>
        <v>0</v>
      </c>
      <c r="AJ111" s="2">
        <f>+U111*AJ109</f>
        <v>0</v>
      </c>
    </row>
    <row r="112" spans="1:36" ht="6.75" customHeight="1">
      <c r="S112" s="39"/>
      <c r="W112" s="39"/>
      <c r="X112" s="75"/>
      <c r="Y112" s="60"/>
    </row>
    <row r="113" spans="1:36">
      <c r="A113" s="43">
        <v>88</v>
      </c>
      <c r="B113" s="2" t="s">
        <v>194</v>
      </c>
      <c r="P113" s="39"/>
      <c r="S113" s="5"/>
      <c r="X113" s="75"/>
      <c r="Y113" s="60"/>
    </row>
    <row r="114" spans="1:36">
      <c r="A114" s="43">
        <v>89</v>
      </c>
      <c r="C114" s="256" t="s">
        <v>42</v>
      </c>
      <c r="D114" s="268"/>
      <c r="E114" s="269"/>
      <c r="F114" s="270"/>
      <c r="G114" s="270"/>
      <c r="H114" s="310"/>
      <c r="I114" s="311"/>
      <c r="J114" s="311"/>
      <c r="K114" s="310"/>
      <c r="L114" s="310"/>
      <c r="M114" s="311"/>
      <c r="N114" s="311"/>
      <c r="O114" s="256"/>
      <c r="P114" s="281">
        <f>ROUND((+Q114*(1+0))/12*5,0)</f>
        <v>18750</v>
      </c>
      <c r="Q114" s="253">
        <v>45000</v>
      </c>
      <c r="R114" s="254">
        <f t="shared" ref="R114:R119" si="33">+P114-Q114</f>
        <v>-26250</v>
      </c>
      <c r="S114" s="255">
        <f t="shared" ref="S114:S120" si="34">IF(Q114=0,"NA",(+P114-Q114)/Q114)</f>
        <v>-0.58333333333333337</v>
      </c>
      <c r="T114" s="256"/>
      <c r="U114" s="253">
        <v>45000</v>
      </c>
      <c r="V114" s="253">
        <v>45000</v>
      </c>
      <c r="W114" s="255">
        <f t="shared" ref="W114:W120" si="35">IF(V114=0,"NA",(+U114-V114)/V114)</f>
        <v>0</v>
      </c>
      <c r="X114" s="257" t="s">
        <v>432</v>
      </c>
      <c r="Y114" s="59" t="s">
        <v>134</v>
      </c>
    </row>
    <row r="115" spans="1:36">
      <c r="C115" s="261" t="s">
        <v>41</v>
      </c>
      <c r="D115" s="271"/>
      <c r="E115" s="272"/>
      <c r="F115" s="273"/>
      <c r="G115" s="273"/>
      <c r="H115" s="312"/>
      <c r="I115" s="312"/>
      <c r="J115" s="312"/>
      <c r="K115" s="312"/>
      <c r="L115" s="312"/>
      <c r="M115" s="312"/>
      <c r="N115" s="312"/>
      <c r="O115" s="261"/>
      <c r="P115" s="279">
        <v>0</v>
      </c>
      <c r="Q115" s="258">
        <v>750</v>
      </c>
      <c r="R115" s="259">
        <f t="shared" si="33"/>
        <v>-750</v>
      </c>
      <c r="S115" s="260">
        <f>IF(Q115=0,"NA",(+P115-Q115)/Q115)</f>
        <v>-1</v>
      </c>
      <c r="T115" s="261"/>
      <c r="U115" s="258">
        <v>510</v>
      </c>
      <c r="V115" s="258">
        <v>750</v>
      </c>
      <c r="W115" s="260">
        <f t="shared" si="35"/>
        <v>-0.32</v>
      </c>
      <c r="X115" s="262"/>
      <c r="Y115" s="59"/>
    </row>
    <row r="116" spans="1:36">
      <c r="C116" s="261" t="s">
        <v>43</v>
      </c>
      <c r="D116" s="271"/>
      <c r="E116" s="272"/>
      <c r="F116" s="273"/>
      <c r="G116" s="273"/>
      <c r="H116" s="312"/>
      <c r="I116" s="312"/>
      <c r="J116" s="312"/>
      <c r="K116" s="312"/>
      <c r="L116" s="312"/>
      <c r="M116" s="312"/>
      <c r="N116" s="312"/>
      <c r="O116" s="261"/>
      <c r="P116" s="279">
        <v>0</v>
      </c>
      <c r="Q116" s="258">
        <v>1500</v>
      </c>
      <c r="R116" s="259">
        <f t="shared" si="33"/>
        <v>-1500</v>
      </c>
      <c r="S116" s="260">
        <f>IF(Q116=0,"NA",(+P116-Q116)/Q116)</f>
        <v>-1</v>
      </c>
      <c r="T116" s="261"/>
      <c r="U116" s="258">
        <v>0</v>
      </c>
      <c r="V116" s="258">
        <v>1500</v>
      </c>
      <c r="W116" s="260">
        <f t="shared" si="35"/>
        <v>-1</v>
      </c>
      <c r="X116" s="262"/>
      <c r="Y116" s="59"/>
    </row>
    <row r="117" spans="1:36">
      <c r="C117" s="261" t="s">
        <v>232</v>
      </c>
      <c r="D117" s="271"/>
      <c r="E117" s="272"/>
      <c r="F117" s="273"/>
      <c r="G117" s="273"/>
      <c r="H117" s="273"/>
      <c r="I117" s="273"/>
      <c r="J117" s="273"/>
      <c r="K117" s="273"/>
      <c r="L117" s="273"/>
      <c r="M117" s="273"/>
      <c r="N117" s="273"/>
      <c r="O117" s="307"/>
      <c r="P117" s="279">
        <f>ROUND(40*5,0)</f>
        <v>200</v>
      </c>
      <c r="Q117" s="279">
        <f>40*12</f>
        <v>480</v>
      </c>
      <c r="R117" s="259">
        <f t="shared" si="33"/>
        <v>-280</v>
      </c>
      <c r="S117" s="260">
        <f>IF(Q117=0,"NA",(+P117-Q117)/Q117)</f>
        <v>-0.58333333333333337</v>
      </c>
      <c r="T117" s="261"/>
      <c r="U117" s="258">
        <v>480</v>
      </c>
      <c r="V117" s="258">
        <v>480</v>
      </c>
      <c r="W117" s="260">
        <f t="shared" si="35"/>
        <v>0</v>
      </c>
      <c r="X117" s="262" t="s">
        <v>244</v>
      </c>
      <c r="Y117" s="63"/>
    </row>
    <row r="118" spans="1:36">
      <c r="C118" s="261" t="s">
        <v>107</v>
      </c>
      <c r="D118" s="271"/>
      <c r="E118" s="272"/>
      <c r="F118" s="273"/>
      <c r="G118" s="273"/>
      <c r="H118" s="312"/>
      <c r="I118" s="312"/>
      <c r="J118" s="312"/>
      <c r="K118" s="312"/>
      <c r="L118" s="312"/>
      <c r="M118" s="312"/>
      <c r="N118" s="312"/>
      <c r="O118" s="261"/>
      <c r="P118" s="279">
        <v>0</v>
      </c>
      <c r="Q118" s="258">
        <v>350</v>
      </c>
      <c r="R118" s="259">
        <f t="shared" si="33"/>
        <v>-350</v>
      </c>
      <c r="S118" s="260">
        <f>IF(Q118=0,"NA",(+P118-Q118)/Q118)</f>
        <v>-1</v>
      </c>
      <c r="T118" s="261"/>
      <c r="U118" s="258">
        <v>171.92</v>
      </c>
      <c r="V118" s="258">
        <v>350</v>
      </c>
      <c r="W118" s="260">
        <f t="shared" si="35"/>
        <v>-0.50880000000000003</v>
      </c>
      <c r="X118" s="262"/>
      <c r="Y118" s="59"/>
    </row>
    <row r="119" spans="1:36">
      <c r="A119" s="43">
        <v>90</v>
      </c>
      <c r="C119" s="266" t="s">
        <v>240</v>
      </c>
      <c r="D119" s="274"/>
      <c r="E119" s="275"/>
      <c r="F119" s="276"/>
      <c r="G119" s="276"/>
      <c r="H119" s="276"/>
      <c r="I119" s="276"/>
      <c r="J119" s="276"/>
      <c r="K119" s="276"/>
      <c r="L119" s="276"/>
      <c r="M119" s="276"/>
      <c r="N119" s="276"/>
      <c r="O119" s="266"/>
      <c r="P119" s="280">
        <v>0</v>
      </c>
      <c r="Q119" s="263">
        <f>500+500+1000</f>
        <v>2000</v>
      </c>
      <c r="R119" s="264">
        <f t="shared" si="33"/>
        <v>-2000</v>
      </c>
      <c r="S119" s="265">
        <f t="shared" si="34"/>
        <v>-1</v>
      </c>
      <c r="T119" s="266"/>
      <c r="U119" s="263">
        <v>1500</v>
      </c>
      <c r="V119" s="263">
        <v>2000</v>
      </c>
      <c r="W119" s="265">
        <f t="shared" si="35"/>
        <v>-0.25</v>
      </c>
      <c r="X119" s="267" t="s">
        <v>241</v>
      </c>
      <c r="Y119" s="60"/>
      <c r="AD119" s="421">
        <v>0.4</v>
      </c>
      <c r="AE119" s="421">
        <v>0.4</v>
      </c>
      <c r="AF119" s="421">
        <v>0.2</v>
      </c>
      <c r="AH119" s="35">
        <f>+AD119</f>
        <v>0.4</v>
      </c>
      <c r="AI119" s="35">
        <f>+AE119</f>
        <v>0.4</v>
      </c>
      <c r="AJ119" s="35">
        <f>+AF119</f>
        <v>0.2</v>
      </c>
    </row>
    <row r="120" spans="1:36" s="2" customFormat="1">
      <c r="A120" s="43">
        <v>91</v>
      </c>
      <c r="B120" s="24" t="s">
        <v>195</v>
      </c>
      <c r="C120" s="24"/>
      <c r="D120" s="24"/>
      <c r="E120" s="90"/>
      <c r="F120" s="90"/>
      <c r="G120" s="90"/>
      <c r="H120" s="90"/>
      <c r="I120" s="90"/>
      <c r="J120" s="90"/>
      <c r="K120" s="90"/>
      <c r="L120" s="90"/>
      <c r="M120" s="90"/>
      <c r="N120" s="90"/>
      <c r="O120" s="24"/>
      <c r="P120" s="24">
        <f>SUM(P114:P119)</f>
        <v>18950</v>
      </c>
      <c r="Q120" s="24">
        <f>SUM(Q114:Q119)</f>
        <v>50080</v>
      </c>
      <c r="R120" s="24">
        <f>SUM(R114:R119)</f>
        <v>-31130</v>
      </c>
      <c r="S120" s="25">
        <f t="shared" si="34"/>
        <v>-0.6216054313099042</v>
      </c>
      <c r="U120" s="24">
        <f>SUM(U114:U119)</f>
        <v>47661.919999999998</v>
      </c>
      <c r="V120" s="24">
        <f>SUM(V114:V119)</f>
        <v>50080</v>
      </c>
      <c r="W120" s="25">
        <f t="shared" si="35"/>
        <v>-4.8284345047923359E-2</v>
      </c>
      <c r="X120" s="76"/>
      <c r="Y120" s="62"/>
      <c r="AD120" s="2">
        <f>+P120*AD119</f>
        <v>7580</v>
      </c>
      <c r="AE120" s="2">
        <f>+P120*AE119</f>
        <v>7580</v>
      </c>
      <c r="AF120" s="2">
        <f>+P120*AF119</f>
        <v>3790</v>
      </c>
      <c r="AH120" s="2">
        <f>+U120*AH119</f>
        <v>19064.768</v>
      </c>
      <c r="AI120" s="2">
        <f>+U120*AI119</f>
        <v>19064.768</v>
      </c>
      <c r="AJ120" s="2">
        <f>+U120*AJ119</f>
        <v>9532.384</v>
      </c>
    </row>
    <row r="121" spans="1:36" ht="4.5" customHeight="1">
      <c r="A121" s="43">
        <v>92</v>
      </c>
      <c r="S121" s="5"/>
      <c r="X121" s="75"/>
      <c r="Y121" s="60"/>
    </row>
    <row r="122" spans="1:36" ht="4.5" customHeight="1">
      <c r="S122" s="39"/>
      <c r="W122" s="39"/>
      <c r="X122" s="75"/>
      <c r="Y122" s="60"/>
    </row>
    <row r="123" spans="1:36">
      <c r="A123" s="43">
        <v>93</v>
      </c>
      <c r="B123" s="2" t="s">
        <v>167</v>
      </c>
      <c r="S123" s="5"/>
      <c r="X123" s="75"/>
      <c r="Y123" s="60"/>
    </row>
    <row r="124" spans="1:36" ht="14.4" customHeight="1">
      <c r="A124" s="43">
        <v>94</v>
      </c>
      <c r="C124" s="256" t="s">
        <v>42</v>
      </c>
      <c r="D124" s="268"/>
      <c r="E124" s="269"/>
      <c r="F124" s="313"/>
      <c r="G124" s="313"/>
      <c r="H124" s="311">
        <f>ROUND(+$Q124*(1+$F$84),0)</f>
        <v>21224</v>
      </c>
      <c r="I124" s="311"/>
      <c r="J124" s="311"/>
      <c r="K124" s="311"/>
      <c r="L124" s="311"/>
      <c r="M124" s="311"/>
      <c r="N124" s="311"/>
      <c r="O124" s="256"/>
      <c r="P124" s="287">
        <f>ROUND((+Q124*(1+F$84))/12*5,0)</f>
        <v>8843</v>
      </c>
      <c r="Q124" s="253">
        <v>20808</v>
      </c>
      <c r="R124" s="254">
        <f>+P124-Q124</f>
        <v>-11965</v>
      </c>
      <c r="S124" s="255">
        <f>IF(Q124=0,"NA",(+P124-Q124)/Q124)</f>
        <v>-0.57501922337562472</v>
      </c>
      <c r="T124" s="256"/>
      <c r="U124" s="253">
        <v>20808</v>
      </c>
      <c r="V124" s="253">
        <v>20808</v>
      </c>
      <c r="W124" s="255">
        <f>IF(V124=0,"NA",(+U124-V124)/V124)</f>
        <v>0</v>
      </c>
      <c r="X124" s="257" t="s">
        <v>376</v>
      </c>
      <c r="Y124" s="59" t="s">
        <v>120</v>
      </c>
      <c r="AE124" s="1">
        <f>+$P124</f>
        <v>8843</v>
      </c>
      <c r="AI124" s="1">
        <f>+$U124</f>
        <v>20808</v>
      </c>
    </row>
    <row r="125" spans="1:36" ht="44.5" customHeight="1">
      <c r="A125" s="43">
        <v>95</v>
      </c>
      <c r="C125" s="266" t="s">
        <v>44</v>
      </c>
      <c r="D125" s="274"/>
      <c r="E125" s="314">
        <v>2</v>
      </c>
      <c r="F125" s="315">
        <f>ROUND(+J125*(1+H125),2)</f>
        <v>10</v>
      </c>
      <c r="G125" s="314">
        <v>40</v>
      </c>
      <c r="H125" s="316">
        <v>0</v>
      </c>
      <c r="I125" s="314">
        <v>4</v>
      </c>
      <c r="J125" s="317">
        <v>10</v>
      </c>
      <c r="K125" s="314">
        <v>40</v>
      </c>
      <c r="L125" s="265">
        <f>IF(M125=0,0,(+J125-M125)/M125)</f>
        <v>0</v>
      </c>
      <c r="M125" s="318">
        <v>0</v>
      </c>
      <c r="N125" s="318"/>
      <c r="O125" s="266"/>
      <c r="P125" s="309">
        <f>ROUND(F125*E125*G125,0)</f>
        <v>800</v>
      </c>
      <c r="Q125" s="280">
        <v>800</v>
      </c>
      <c r="R125" s="264">
        <f>+P125-Q125</f>
        <v>0</v>
      </c>
      <c r="S125" s="265">
        <f>IF(Q125=0,"NA",(+P125-Q125)/Q125)</f>
        <v>0</v>
      </c>
      <c r="T125" s="266"/>
      <c r="U125" s="280">
        <v>648.16999999999996</v>
      </c>
      <c r="V125" s="263">
        <v>800</v>
      </c>
      <c r="W125" s="265">
        <f>IF(V125=0,"NA",(+U125-V125)/V125)</f>
        <v>-0.18978750000000005</v>
      </c>
      <c r="X125" s="337" t="str">
        <f>"Matt Nelson (not taking), Alyssa and Wendy at:  "&amp;Bud_Yr&amp;":  avg "&amp;E125&amp;" hrs/week at $"&amp;F125&amp;"/hr ("&amp;ROUND(H125*100,1)&amp;"% incr.) for "&amp;G125&amp;" weeks (Sept-May, excluding Lent).  "&amp;Bud_Yr-1&amp;":  avg "&amp;I125&amp;" hrs/week at $"&amp;J125&amp;"/hr ("&amp;ROUND(L125*100,1)&amp;"% incr.) for "&amp;K125&amp;" weeks.   "</f>
        <v xml:space="preserve">Matt Nelson (not taking), Alyssa and Wendy at:  2020:  avg 2 hrs/week at $10/hr (0% incr.) for 40 weeks (Sept-May, excluding Lent).  2019:  avg 4 hrs/week at $10/hr (0% incr.) for 40 weeks.   </v>
      </c>
      <c r="Y125" s="1" t="s">
        <v>121</v>
      </c>
      <c r="AE125" s="1">
        <f>+$P125</f>
        <v>800</v>
      </c>
      <c r="AI125" s="1">
        <f>+$U125</f>
        <v>648.16999999999996</v>
      </c>
    </row>
    <row r="126" spans="1:36" s="2" customFormat="1">
      <c r="A126" s="43">
        <v>96</v>
      </c>
      <c r="B126" s="24" t="s">
        <v>45</v>
      </c>
      <c r="C126" s="24"/>
      <c r="D126" s="24"/>
      <c r="E126" s="90"/>
      <c r="F126" s="90"/>
      <c r="G126" s="90"/>
      <c r="H126" s="90"/>
      <c r="I126" s="90"/>
      <c r="J126" s="90"/>
      <c r="K126" s="90"/>
      <c r="L126" s="90"/>
      <c r="M126" s="90"/>
      <c r="N126" s="90"/>
      <c r="O126" s="24"/>
      <c r="P126" s="24">
        <f>SUM(P124:P125)</f>
        <v>9643</v>
      </c>
      <c r="Q126" s="24">
        <f>SUM(Q124:Q125)</f>
        <v>21608</v>
      </c>
      <c r="R126" s="24">
        <f>SUM(R124:R125)</f>
        <v>-11965</v>
      </c>
      <c r="S126" s="25">
        <f>IF(Q126=0,"NA",(+P126-Q126)/Q126)</f>
        <v>-0.55373009996297673</v>
      </c>
      <c r="U126" s="24">
        <f>SUM(U124:U125)</f>
        <v>21456.17</v>
      </c>
      <c r="V126" s="24">
        <f>SUM(V124:V125)</f>
        <v>21608</v>
      </c>
      <c r="W126" s="25">
        <f>IF(V126=0,"NA",(+U126-V126)/V126)</f>
        <v>-7.0265642354684259E-3</v>
      </c>
      <c r="X126" s="76"/>
      <c r="Y126" s="62"/>
    </row>
    <row r="127" spans="1:36" ht="6" customHeight="1">
      <c r="A127" s="43">
        <v>97</v>
      </c>
      <c r="S127" s="5"/>
      <c r="X127" s="75"/>
      <c r="Y127" s="60"/>
    </row>
    <row r="128" spans="1:36">
      <c r="A128" s="43">
        <v>107</v>
      </c>
      <c r="B128" s="2" t="s">
        <v>46</v>
      </c>
      <c r="S128" s="5"/>
      <c r="X128" s="75"/>
      <c r="Y128" s="60"/>
    </row>
    <row r="129" spans="1:37">
      <c r="A129" s="43">
        <v>108</v>
      </c>
      <c r="C129" s="256" t="s">
        <v>109</v>
      </c>
      <c r="D129" s="268"/>
      <c r="E129" s="269"/>
      <c r="F129" s="270"/>
      <c r="G129" s="270"/>
      <c r="H129" s="270"/>
      <c r="I129" s="270"/>
      <c r="J129" s="270"/>
      <c r="K129" s="270"/>
      <c r="L129" s="270"/>
      <c r="M129" s="270"/>
      <c r="N129" s="270"/>
      <c r="O129" s="319"/>
      <c r="P129" s="281">
        <f>ROUND(+Q129*(1+$F$84),0)</f>
        <v>16236</v>
      </c>
      <c r="Q129" s="253">
        <v>15918</v>
      </c>
      <c r="R129" s="254">
        <f t="shared" ref="R129:R138" si="36">+P129-Q129</f>
        <v>318</v>
      </c>
      <c r="S129" s="255">
        <f t="shared" ref="S129:S139" si="37">IF(Q129=0,"NA",(+P129-Q129)/Q129)</f>
        <v>1.9977384093479079E-2</v>
      </c>
      <c r="T129" s="256"/>
      <c r="U129" s="253">
        <v>15918</v>
      </c>
      <c r="V129" s="253">
        <v>15918</v>
      </c>
      <c r="W129" s="255">
        <f t="shared" ref="W129:W139" si="38">IF(V129=0,"NA",(+U129-V129)/V129)</f>
        <v>0</v>
      </c>
      <c r="X129" s="257" t="s">
        <v>433</v>
      </c>
      <c r="Y129" s="59" t="s">
        <v>148</v>
      </c>
      <c r="AD129" s="1">
        <f t="shared" ref="AD129:AE138" si="39">+$P129</f>
        <v>16236</v>
      </c>
      <c r="AH129" s="1">
        <f t="shared" ref="AH129:AI138" si="40">+$U129</f>
        <v>15918</v>
      </c>
    </row>
    <row r="130" spans="1:37">
      <c r="C130" s="256" t="s">
        <v>247</v>
      </c>
      <c r="D130" s="268"/>
      <c r="E130" s="269"/>
      <c r="F130" s="270"/>
      <c r="G130" s="270"/>
      <c r="H130" s="270"/>
      <c r="I130" s="270"/>
      <c r="J130" s="270"/>
      <c r="K130" s="270"/>
      <c r="L130" s="270"/>
      <c r="M130" s="270"/>
      <c r="N130" s="270"/>
      <c r="O130" s="319"/>
      <c r="P130" s="287">
        <f>+'Band and Other Music'!D13</f>
        <v>3060</v>
      </c>
      <c r="Q130" s="254">
        <f>+'Band and Other Music'!C13</f>
        <v>3000</v>
      </c>
      <c r="R130" s="254">
        <f>+P130-Q130</f>
        <v>60</v>
      </c>
      <c r="S130" s="255">
        <f>IF(Q130=0,"NA",(+P130-Q130)/Q130)</f>
        <v>0.02</v>
      </c>
      <c r="T130" s="256"/>
      <c r="U130" s="253">
        <v>2750</v>
      </c>
      <c r="V130" s="253">
        <v>3000</v>
      </c>
      <c r="W130" s="255">
        <f>IF(V130=0,"NA",(+U130-V130)/V130)</f>
        <v>-8.3333333333333329E-2</v>
      </c>
      <c r="X130" s="257" t="s">
        <v>434</v>
      </c>
      <c r="Y130" s="59" t="s">
        <v>148</v>
      </c>
      <c r="AD130" s="1">
        <f t="shared" si="39"/>
        <v>3060</v>
      </c>
      <c r="AH130" s="1">
        <f t="shared" si="40"/>
        <v>2750</v>
      </c>
    </row>
    <row r="131" spans="1:37">
      <c r="A131" s="43">
        <v>109</v>
      </c>
      <c r="C131" s="261" t="s">
        <v>47</v>
      </c>
      <c r="D131" s="271"/>
      <c r="E131" s="272"/>
      <c r="F131" s="273"/>
      <c r="G131" s="273"/>
      <c r="H131" s="273"/>
      <c r="I131" s="273"/>
      <c r="J131" s="273"/>
      <c r="K131" s="273"/>
      <c r="L131" s="273"/>
      <c r="M131" s="273"/>
      <c r="N131" s="273"/>
      <c r="O131" s="320"/>
      <c r="P131" s="258">
        <v>500</v>
      </c>
      <c r="Q131" s="258">
        <v>500</v>
      </c>
      <c r="R131" s="259">
        <f t="shared" si="36"/>
        <v>0</v>
      </c>
      <c r="S131" s="260">
        <f t="shared" si="37"/>
        <v>0</v>
      </c>
      <c r="T131" s="261"/>
      <c r="U131" s="258">
        <v>200</v>
      </c>
      <c r="V131" s="258">
        <v>500</v>
      </c>
      <c r="W131" s="260">
        <f t="shared" si="38"/>
        <v>-0.6</v>
      </c>
      <c r="X131" s="321"/>
      <c r="Y131" s="59" t="s">
        <v>151</v>
      </c>
      <c r="AD131" s="1">
        <f t="shared" si="39"/>
        <v>500</v>
      </c>
      <c r="AH131" s="1">
        <f t="shared" si="40"/>
        <v>200</v>
      </c>
    </row>
    <row r="132" spans="1:37" ht="28.5" customHeight="1">
      <c r="A132" s="43">
        <v>110</v>
      </c>
      <c r="C132" s="261" t="s">
        <v>48</v>
      </c>
      <c r="D132" s="271"/>
      <c r="E132" s="272"/>
      <c r="F132" s="273"/>
      <c r="G132" s="273"/>
      <c r="H132" s="273"/>
      <c r="I132" s="273"/>
      <c r="J132" s="273"/>
      <c r="K132" s="273"/>
      <c r="L132" s="273"/>
      <c r="M132" s="273"/>
      <c r="N132" s="273"/>
      <c r="O132" s="320"/>
      <c r="P132" s="295">
        <f>+'Band and Other Music'!D30</f>
        <v>13800</v>
      </c>
      <c r="Q132" s="258">
        <v>13290</v>
      </c>
      <c r="R132" s="259">
        <f t="shared" si="36"/>
        <v>510</v>
      </c>
      <c r="S132" s="260">
        <f t="shared" si="37"/>
        <v>3.8374717832957109E-2</v>
      </c>
      <c r="T132" s="261"/>
      <c r="U132" s="258">
        <v>12115.99</v>
      </c>
      <c r="V132" s="258">
        <v>13290</v>
      </c>
      <c r="W132" s="260">
        <f t="shared" si="38"/>
        <v>-8.8337848006019584E-2</v>
      </c>
      <c r="X132" s="262" t="s">
        <v>395</v>
      </c>
      <c r="Y132" s="59" t="s">
        <v>150</v>
      </c>
      <c r="AD132" s="1">
        <f t="shared" si="39"/>
        <v>13800</v>
      </c>
      <c r="AH132" s="1">
        <f t="shared" si="40"/>
        <v>12115.99</v>
      </c>
    </row>
    <row r="133" spans="1:37" ht="29">
      <c r="A133" s="43">
        <v>110</v>
      </c>
      <c r="C133" s="654" t="s">
        <v>314</v>
      </c>
      <c r="D133" s="654"/>
      <c r="E133" s="272"/>
      <c r="F133" s="273"/>
      <c r="G133" s="273"/>
      <c r="H133" s="273"/>
      <c r="I133" s="273"/>
      <c r="J133" s="273"/>
      <c r="K133" s="273"/>
      <c r="L133" s="273"/>
      <c r="M133" s="273"/>
      <c r="N133" s="273"/>
      <c r="O133" s="320"/>
      <c r="P133" s="295">
        <f>+'Band and Other Music'!D53</f>
        <v>3000</v>
      </c>
      <c r="Q133" s="258">
        <v>3000</v>
      </c>
      <c r="R133" s="259">
        <f>+P133-Q133</f>
        <v>0</v>
      </c>
      <c r="S133" s="260">
        <f>IF(Q133=0,"NA",(+P133-Q133)/Q133)</f>
        <v>0</v>
      </c>
      <c r="T133" s="261"/>
      <c r="U133" s="258">
        <v>4330</v>
      </c>
      <c r="V133" s="258">
        <v>3000</v>
      </c>
      <c r="W133" s="260">
        <f>IF(V133=0,"NA",(+U133-V133)/V133)</f>
        <v>0.44333333333333336</v>
      </c>
      <c r="X133" s="262" t="s">
        <v>358</v>
      </c>
      <c r="Y133" s="59" t="s">
        <v>150</v>
      </c>
      <c r="AD133" s="1">
        <f t="shared" si="39"/>
        <v>3000</v>
      </c>
      <c r="AH133" s="1">
        <f t="shared" si="40"/>
        <v>4330</v>
      </c>
    </row>
    <row r="134" spans="1:37">
      <c r="C134" s="261" t="s">
        <v>309</v>
      </c>
      <c r="D134" s="271"/>
      <c r="E134" s="272"/>
      <c r="F134" s="273"/>
      <c r="G134" s="273"/>
      <c r="H134" s="273"/>
      <c r="I134" s="273"/>
      <c r="J134" s="273"/>
      <c r="K134" s="273"/>
      <c r="L134" s="273"/>
      <c r="M134" s="273"/>
      <c r="N134" s="273"/>
      <c r="O134" s="320"/>
      <c r="P134" s="295">
        <f>+'Band and Other Music'!D42</f>
        <v>3375</v>
      </c>
      <c r="Q134" s="258">
        <v>3350</v>
      </c>
      <c r="R134" s="259">
        <f>+P134-Q134</f>
        <v>25</v>
      </c>
      <c r="S134" s="260">
        <f>IF(Q134=0,"NA",(+P134-Q134)/Q134)</f>
        <v>7.462686567164179E-3</v>
      </c>
      <c r="T134" s="261"/>
      <c r="U134" s="258">
        <v>2400</v>
      </c>
      <c r="V134" s="258">
        <v>3350</v>
      </c>
      <c r="W134" s="260">
        <f>IF(V134=0,"NA",(+U134-V134)/V134)</f>
        <v>-0.28358208955223879</v>
      </c>
      <c r="X134" s="321" t="s">
        <v>357</v>
      </c>
      <c r="Y134" s="59"/>
      <c r="AD134" s="1">
        <f t="shared" si="39"/>
        <v>3375</v>
      </c>
      <c r="AH134" s="1">
        <f t="shared" si="40"/>
        <v>2400</v>
      </c>
    </row>
    <row r="135" spans="1:37">
      <c r="A135" s="43">
        <v>111</v>
      </c>
      <c r="C135" s="261" t="s">
        <v>49</v>
      </c>
      <c r="D135" s="271"/>
      <c r="E135" s="272"/>
      <c r="F135" s="273"/>
      <c r="G135" s="273"/>
      <c r="H135" s="273"/>
      <c r="I135" s="273"/>
      <c r="J135" s="273"/>
      <c r="K135" s="273"/>
      <c r="L135" s="273"/>
      <c r="M135" s="273"/>
      <c r="N135" s="273"/>
      <c r="O135" s="320"/>
      <c r="P135" s="295">
        <f>ROUND(+Q135*(1+$F$84),0)</f>
        <v>7634</v>
      </c>
      <c r="Q135" s="258">
        <v>7484</v>
      </c>
      <c r="R135" s="259">
        <f t="shared" si="36"/>
        <v>150</v>
      </c>
      <c r="S135" s="260">
        <f t="shared" si="37"/>
        <v>2.0042757883484766E-2</v>
      </c>
      <c r="T135" s="261"/>
      <c r="U135" s="258">
        <v>7484</v>
      </c>
      <c r="V135" s="258">
        <v>7484</v>
      </c>
      <c r="W135" s="260">
        <f t="shared" si="38"/>
        <v>0</v>
      </c>
      <c r="X135" s="262" t="s">
        <v>425</v>
      </c>
      <c r="Y135" s="59" t="s">
        <v>149</v>
      </c>
      <c r="AD135" s="1">
        <f t="shared" si="39"/>
        <v>7634</v>
      </c>
      <c r="AH135" s="1">
        <f t="shared" si="40"/>
        <v>7484</v>
      </c>
    </row>
    <row r="136" spans="1:37" ht="29">
      <c r="A136" s="43">
        <v>112</v>
      </c>
      <c r="C136" s="261" t="s">
        <v>50</v>
      </c>
      <c r="D136" s="271"/>
      <c r="E136" s="660" t="s">
        <v>164</v>
      </c>
      <c r="F136" s="661"/>
      <c r="G136" s="661"/>
      <c r="H136" s="661"/>
      <c r="I136" s="661"/>
      <c r="J136" s="661"/>
      <c r="K136" s="661"/>
      <c r="L136" s="661"/>
      <c r="M136" s="661"/>
      <c r="N136" s="661"/>
      <c r="O136" s="661"/>
      <c r="P136" s="279">
        <v>1500</v>
      </c>
      <c r="Q136" s="258">
        <v>1785</v>
      </c>
      <c r="R136" s="259">
        <f t="shared" si="36"/>
        <v>-285</v>
      </c>
      <c r="S136" s="260">
        <f t="shared" si="37"/>
        <v>-0.15966386554621848</v>
      </c>
      <c r="T136" s="261"/>
      <c r="U136" s="258">
        <v>743.75</v>
      </c>
      <c r="V136" s="258">
        <v>1785</v>
      </c>
      <c r="W136" s="260">
        <f t="shared" si="38"/>
        <v>-0.58333333333333337</v>
      </c>
      <c r="X136" s="262" t="s">
        <v>435</v>
      </c>
      <c r="Y136" s="59" t="s">
        <v>151</v>
      </c>
      <c r="AE136" s="1">
        <f t="shared" si="39"/>
        <v>1500</v>
      </c>
      <c r="AI136" s="1">
        <f t="shared" si="40"/>
        <v>743.75</v>
      </c>
    </row>
    <row r="137" spans="1:37">
      <c r="C137" s="261" t="s">
        <v>407</v>
      </c>
      <c r="D137" s="271"/>
      <c r="P137" s="279">
        <v>0</v>
      </c>
      <c r="Q137" s="258">
        <v>0</v>
      </c>
      <c r="R137" s="259">
        <f t="shared" si="36"/>
        <v>0</v>
      </c>
      <c r="S137" s="260" t="str">
        <f>IF(Q137=0,"NA",(+P137-Q137)/Q137)</f>
        <v>NA</v>
      </c>
      <c r="T137" s="261"/>
      <c r="U137" s="279">
        <v>100</v>
      </c>
      <c r="V137" s="258">
        <v>0</v>
      </c>
      <c r="W137" s="260" t="str">
        <f>IF(V137=0,"NA",(+U137-V137)/V137)</f>
        <v>NA</v>
      </c>
      <c r="X137" s="262"/>
      <c r="Y137" s="71" t="s">
        <v>147</v>
      </c>
      <c r="AE137" s="1">
        <f t="shared" si="39"/>
        <v>0</v>
      </c>
      <c r="AI137" s="1">
        <f t="shared" si="40"/>
        <v>100</v>
      </c>
    </row>
    <row r="138" spans="1:37">
      <c r="A138" s="43">
        <v>113</v>
      </c>
      <c r="C138" s="266" t="s">
        <v>110</v>
      </c>
      <c r="D138" s="274"/>
      <c r="E138" s="658">
        <f>Bud_Yr</f>
        <v>2020</v>
      </c>
      <c r="F138" s="659"/>
      <c r="G138" s="659"/>
      <c r="H138" s="659"/>
      <c r="I138" s="659">
        <f>Bud_Yr-1</f>
        <v>2019</v>
      </c>
      <c r="J138" s="659"/>
      <c r="K138" s="659"/>
      <c r="L138" s="659"/>
      <c r="M138" s="322">
        <f>Bud_Yr-2</f>
        <v>2018</v>
      </c>
      <c r="N138" s="322">
        <v>2017</v>
      </c>
      <c r="O138" s="322">
        <v>2016</v>
      </c>
      <c r="P138" s="309">
        <f>ROUND(+Q138*(1+$F$85),0)</f>
        <v>2759</v>
      </c>
      <c r="Q138" s="263">
        <v>2759</v>
      </c>
      <c r="R138" s="264">
        <f t="shared" si="36"/>
        <v>0</v>
      </c>
      <c r="S138" s="265">
        <f t="shared" si="37"/>
        <v>0</v>
      </c>
      <c r="T138" s="266"/>
      <c r="U138" s="263">
        <v>3394</v>
      </c>
      <c r="V138" s="263">
        <v>2759</v>
      </c>
      <c r="W138" s="265">
        <f t="shared" si="38"/>
        <v>0.2301558535701341</v>
      </c>
      <c r="X138" s="267" t="s">
        <v>185</v>
      </c>
      <c r="Y138" s="59" t="s">
        <v>151</v>
      </c>
      <c r="AD138" s="1">
        <f t="shared" si="39"/>
        <v>2759</v>
      </c>
      <c r="AH138" s="1">
        <f t="shared" si="40"/>
        <v>3394</v>
      </c>
    </row>
    <row r="139" spans="1:37" s="2" customFormat="1" ht="15" thickBot="1">
      <c r="A139" s="43">
        <v>114</v>
      </c>
      <c r="B139" s="24" t="s">
        <v>51</v>
      </c>
      <c r="C139" s="24"/>
      <c r="D139" s="24"/>
      <c r="E139" s="98" t="s">
        <v>162</v>
      </c>
      <c r="F139" s="99" t="s">
        <v>163</v>
      </c>
      <c r="G139" s="99" t="s">
        <v>166</v>
      </c>
      <c r="H139" s="99" t="s">
        <v>161</v>
      </c>
      <c r="I139" s="99" t="s">
        <v>162</v>
      </c>
      <c r="J139" s="99" t="s">
        <v>163</v>
      </c>
      <c r="K139" s="99" t="s">
        <v>166</v>
      </c>
      <c r="L139" s="99" t="s">
        <v>161</v>
      </c>
      <c r="M139" s="100" t="s">
        <v>163</v>
      </c>
      <c r="N139" s="100" t="s">
        <v>163</v>
      </c>
      <c r="O139" s="100" t="s">
        <v>163</v>
      </c>
      <c r="P139" s="24">
        <f>SUM(P129:P138)</f>
        <v>51864</v>
      </c>
      <c r="Q139" s="24">
        <f>SUM(Q129:Q138)</f>
        <v>51086</v>
      </c>
      <c r="R139" s="24">
        <f>SUM(R129:R138)</f>
        <v>778</v>
      </c>
      <c r="S139" s="25">
        <f t="shared" si="37"/>
        <v>1.5229221313079905E-2</v>
      </c>
      <c r="U139" s="24">
        <f>SUM(U129:U138)</f>
        <v>49435.74</v>
      </c>
      <c r="V139" s="24">
        <f>SUM(V129:V138)</f>
        <v>51086</v>
      </c>
      <c r="W139" s="25">
        <f t="shared" si="38"/>
        <v>-3.230356653486282E-2</v>
      </c>
      <c r="X139" s="76"/>
      <c r="Y139" s="62"/>
    </row>
    <row r="140" spans="1:37" ht="6.75" customHeight="1">
      <c r="A140" s="43">
        <v>115</v>
      </c>
      <c r="S140" s="5"/>
      <c r="X140" s="75"/>
      <c r="Y140" s="60"/>
    </row>
    <row r="141" spans="1:37" ht="14.25" customHeight="1">
      <c r="A141" s="43">
        <v>116</v>
      </c>
      <c r="B141" s="2" t="s">
        <v>52</v>
      </c>
      <c r="O141" s="26"/>
      <c r="P141" s="26"/>
      <c r="Q141" s="26"/>
      <c r="R141" s="26"/>
      <c r="S141" s="5"/>
      <c r="X141" s="75"/>
      <c r="Y141" s="60"/>
      <c r="Z141" s="39"/>
      <c r="AD141" s="421">
        <v>0.33300000000000002</v>
      </c>
      <c r="AE141" s="421">
        <v>0.33300000000000002</v>
      </c>
      <c r="AF141" s="421">
        <v>0.33400000000000002</v>
      </c>
      <c r="AH141" s="35">
        <f>+AD141</f>
        <v>0.33300000000000002</v>
      </c>
      <c r="AI141" s="35">
        <f>+AE141</f>
        <v>0.33300000000000002</v>
      </c>
      <c r="AJ141" s="35">
        <f>+AF141</f>
        <v>0.33400000000000002</v>
      </c>
    </row>
    <row r="142" spans="1:37" ht="27.65" customHeight="1">
      <c r="C142" s="261" t="s">
        <v>456</v>
      </c>
      <c r="D142" s="271"/>
      <c r="E142" s="323">
        <v>40</v>
      </c>
      <c r="F142" s="327">
        <f>ROUND(+J142*(1+H142),2)</f>
        <v>17.34</v>
      </c>
      <c r="G142" s="323">
        <v>52</v>
      </c>
      <c r="H142" s="451">
        <f>+$F$84</f>
        <v>0.02</v>
      </c>
      <c r="I142" s="323">
        <v>40</v>
      </c>
      <c r="J142" s="324">
        <v>17</v>
      </c>
      <c r="K142" s="323">
        <v>52</v>
      </c>
      <c r="L142" s="260">
        <f>IF(M142=0,0,(+K142-M142)/M142)</f>
        <v>0</v>
      </c>
      <c r="M142" s="326"/>
      <c r="N142" s="326"/>
      <c r="O142" s="320"/>
      <c r="P142" s="295">
        <f>ROUND(E142*F142*G142,0)</f>
        <v>36067</v>
      </c>
      <c r="Q142" s="295">
        <f>ROUND(I142*J142*K142,0)</f>
        <v>35360</v>
      </c>
      <c r="R142" s="259">
        <f>+P142-Q142</f>
        <v>707</v>
      </c>
      <c r="S142" s="260">
        <f>IF(Q142=0,"NA",(+P142-Q142)/Q142)</f>
        <v>1.9994343891402713E-2</v>
      </c>
      <c r="T142" s="261"/>
      <c r="U142" s="258">
        <v>35324.019999999997</v>
      </c>
      <c r="V142" s="258">
        <v>35360</v>
      </c>
      <c r="W142" s="260">
        <f>IF(V142=0,"NA",(+U142-V142)/V142)</f>
        <v>-1.0175339366516743E-3</v>
      </c>
      <c r="X142" s="262" t="s">
        <v>246</v>
      </c>
      <c r="Y142" s="70"/>
      <c r="Z142" s="46"/>
      <c r="AD142" s="1">
        <f t="shared" ref="AD142:AD143" si="41">+$P142*AD$141</f>
        <v>12010.311000000002</v>
      </c>
      <c r="AE142" s="1">
        <f t="shared" ref="AE142:AF143" si="42">+$P142*AE$141</f>
        <v>12010.311000000002</v>
      </c>
      <c r="AF142" s="1">
        <f t="shared" si="42"/>
        <v>12046.378000000001</v>
      </c>
      <c r="AH142" s="1">
        <f t="shared" ref="AH142:AH143" si="43">+$U142*AH$141</f>
        <v>11762.898659999999</v>
      </c>
      <c r="AI142" s="1">
        <f t="shared" ref="AI142:AJ143" si="44">+$U142*AI$141</f>
        <v>11762.898659999999</v>
      </c>
      <c r="AJ142" s="1">
        <f t="shared" si="44"/>
        <v>11798.222679999999</v>
      </c>
    </row>
    <row r="143" spans="1:37">
      <c r="A143" s="43">
        <v>122</v>
      </c>
      <c r="C143" s="261" t="s">
        <v>457</v>
      </c>
      <c r="D143" s="271"/>
      <c r="E143" s="323"/>
      <c r="F143" s="327"/>
      <c r="G143" s="323"/>
      <c r="H143" s="328"/>
      <c r="I143" s="323"/>
      <c r="J143" s="324"/>
      <c r="K143" s="323"/>
      <c r="L143" s="260"/>
      <c r="M143" s="326"/>
      <c r="N143" s="326"/>
      <c r="O143" s="259"/>
      <c r="P143" s="279">
        <v>1000</v>
      </c>
      <c r="Q143" s="279">
        <v>1000</v>
      </c>
      <c r="R143" s="259">
        <f>+P143-Q143</f>
        <v>0</v>
      </c>
      <c r="S143" s="260">
        <f>IF(Q143=0,"NA",(+P143-Q143)/Q143)</f>
        <v>0</v>
      </c>
      <c r="T143" s="261"/>
      <c r="U143" s="258">
        <v>719.89</v>
      </c>
      <c r="V143" s="258">
        <v>1000</v>
      </c>
      <c r="W143" s="260">
        <f>IF(V143=0,"NA",(+U143-V143)/V143)</f>
        <v>-0.28011000000000003</v>
      </c>
      <c r="X143" s="262" t="s">
        <v>359</v>
      </c>
      <c r="Y143" s="63" t="s">
        <v>122</v>
      </c>
      <c r="Z143" s="46"/>
      <c r="AD143" s="1">
        <f t="shared" si="41"/>
        <v>333</v>
      </c>
      <c r="AE143" s="1">
        <f t="shared" si="42"/>
        <v>333</v>
      </c>
      <c r="AF143" s="1">
        <f t="shared" si="42"/>
        <v>334</v>
      </c>
      <c r="AH143" s="1">
        <f t="shared" si="43"/>
        <v>239.72337000000002</v>
      </c>
      <c r="AI143" s="1">
        <f t="shared" si="44"/>
        <v>239.72337000000002</v>
      </c>
      <c r="AJ143" s="1">
        <f t="shared" si="44"/>
        <v>240.44326000000001</v>
      </c>
    </row>
    <row r="144" spans="1:37" ht="29.4" customHeight="1">
      <c r="A144" s="43">
        <v>118</v>
      </c>
      <c r="C144" s="261" t="s">
        <v>54</v>
      </c>
      <c r="D144" s="271"/>
      <c r="E144" s="329">
        <v>25</v>
      </c>
      <c r="F144" s="327">
        <f>ROUND(+J144*(1+H144),2)</f>
        <v>13.64</v>
      </c>
      <c r="G144" s="323">
        <v>52</v>
      </c>
      <c r="H144" s="325">
        <f>+$F$84</f>
        <v>0.02</v>
      </c>
      <c r="I144" s="323">
        <v>25</v>
      </c>
      <c r="J144" s="324">
        <v>13.37</v>
      </c>
      <c r="K144" s="323">
        <v>52</v>
      </c>
      <c r="L144" s="260">
        <f>IF(M144=0,0,(+J144-M144)/M144)</f>
        <v>1.9832189168573593E-2</v>
      </c>
      <c r="M144" s="324">
        <v>13.11</v>
      </c>
      <c r="N144" s="326">
        <v>12.85</v>
      </c>
      <c r="O144" s="320"/>
      <c r="P144" s="295">
        <f>ROUND((E144*F144*G144)+(E145*F145*G145)+(E146*F146*G146),0)</f>
        <v>34141</v>
      </c>
      <c r="Q144" s="295">
        <f>ROUND((I144*J144*K144)+(I145*J145*K145)+(I146*J146*K146),0)</f>
        <v>33465</v>
      </c>
      <c r="R144" s="259">
        <f t="shared" ref="R144:R153" si="45">+P144-Q144</f>
        <v>676</v>
      </c>
      <c r="S144" s="260">
        <f t="shared" ref="S144:S155" si="46">IF(Q144=0,"NA",(+P144-Q144)/Q144)</f>
        <v>2.0200209173763632E-2</v>
      </c>
      <c r="T144" s="261"/>
      <c r="U144" s="279">
        <v>36719.51</v>
      </c>
      <c r="V144" s="258">
        <v>33465</v>
      </c>
      <c r="W144" s="260">
        <f t="shared" ref="W144:W155" si="47">IF(V144=0,"NA",(+U144-V144)/V144)</f>
        <v>9.72511579261916E-2</v>
      </c>
      <c r="X144" s="262" t="str">
        <f>"Marc Henkel:  "&amp;Bud_Yr&amp;":  avg "&amp;E144&amp;" hrs/week at $"&amp;F144&amp;"/hr ("&amp;ROUND(H144*100,1)&amp;"% incr.) for "&amp;G144&amp;" weeks.                                       "&amp;Bud_Yr-1&amp;":  avg "&amp;I144&amp;" hrs/week at $"&amp;J144&amp;"/hr ("&amp;ROUND(L144*100,1)&amp;"% incr.) for "&amp;K144&amp;" weeks.   "</f>
        <v xml:space="preserve">Marc Henkel:  2020:  avg 25 hrs/week at $13.64/hr (2% incr.) for 52 weeks.                                       2019:  avg 25 hrs/week at $13.37/hr (2% incr.) for 52 weeks.   </v>
      </c>
      <c r="Y144" s="59" t="s">
        <v>124</v>
      </c>
      <c r="AA144" s="79"/>
      <c r="AG144" s="1">
        <f>+$P144</f>
        <v>34141</v>
      </c>
      <c r="AK144" s="1">
        <f>+$U144</f>
        <v>36719.51</v>
      </c>
    </row>
    <row r="145" spans="1:37" ht="29">
      <c r="C145" s="261"/>
      <c r="D145" s="271"/>
      <c r="E145" s="329">
        <v>20</v>
      </c>
      <c r="F145" s="327">
        <f>ROUND(+J145*(1+H145),2)</f>
        <v>11.57</v>
      </c>
      <c r="G145" s="323">
        <v>52</v>
      </c>
      <c r="H145" s="325">
        <f>+$F$84</f>
        <v>0.02</v>
      </c>
      <c r="I145" s="323">
        <v>20</v>
      </c>
      <c r="J145" s="324">
        <v>11.34</v>
      </c>
      <c r="K145" s="323">
        <v>52</v>
      </c>
      <c r="L145" s="260">
        <f>IF(M145=0,0,(+J145-M145)/M145)</f>
        <v>1.9784172661870561E-2</v>
      </c>
      <c r="M145" s="324">
        <v>11.12</v>
      </c>
      <c r="N145" s="324">
        <v>10.9</v>
      </c>
      <c r="O145" s="326">
        <v>10.7</v>
      </c>
      <c r="P145" s="295"/>
      <c r="Q145" s="295"/>
      <c r="R145" s="259"/>
      <c r="S145" s="260"/>
      <c r="T145" s="261"/>
      <c r="U145" s="279"/>
      <c r="V145" s="258"/>
      <c r="W145" s="260"/>
      <c r="X145" s="262" t="str">
        <f>"Rebecca Arreola:  "&amp;Bud_Yr&amp;":  avg "&amp;E145&amp;" hrs/week at $"&amp;F145&amp;"/hr ("&amp;ROUND(H145*100,1)&amp;"% incr.) for "&amp;G145&amp;" weeks.                                    "&amp;Bud_Yr-1&amp;":  avg "&amp;I145&amp;" hrs/week at $"&amp;J145&amp;"/hr ("&amp;ROUND(L145*100,1)&amp;"% incr.) for "&amp;K145&amp;" weeks.   "&amp;Bud_Yr-2&amp;":  $"&amp;M145&amp;"/hour."</f>
        <v>Rebecca Arreola:  2020:  avg 20 hrs/week at $11.57/hr (2% incr.) for 52 weeks.                                    2019:  avg 20 hrs/week at $11.34/hr (2% incr.) for 52 weeks.   2018:  $11.12/hour.</v>
      </c>
      <c r="Y145" s="59"/>
      <c r="Z145" s="26"/>
      <c r="AA145" s="79"/>
    </row>
    <row r="146" spans="1:37" ht="29">
      <c r="C146" s="261"/>
      <c r="D146" s="271"/>
      <c r="E146" s="329">
        <v>7.5</v>
      </c>
      <c r="F146" s="431">
        <f>ROUND(+J146*(1+H146),2)</f>
        <v>11.22</v>
      </c>
      <c r="G146" s="323">
        <v>52</v>
      </c>
      <c r="H146" s="325">
        <f>+$F$84</f>
        <v>0.02</v>
      </c>
      <c r="I146" s="329">
        <v>7.5</v>
      </c>
      <c r="J146" s="324">
        <v>11</v>
      </c>
      <c r="K146" s="323">
        <v>52</v>
      </c>
      <c r="L146" s="260">
        <f>IF(M146=0,0,(+J146-M146)/M146)</f>
        <v>-2.2222222222222223E-2</v>
      </c>
      <c r="M146" s="324">
        <v>11.25</v>
      </c>
      <c r="N146" s="324">
        <v>11.25</v>
      </c>
      <c r="O146" s="326">
        <v>7.77</v>
      </c>
      <c r="P146" s="295"/>
      <c r="Q146" s="295"/>
      <c r="R146" s="259"/>
      <c r="S146" s="260"/>
      <c r="T146" s="261"/>
      <c r="U146" s="279"/>
      <c r="V146" s="258"/>
      <c r="W146" s="260"/>
      <c r="X146" s="262" t="str">
        <f>"Glenn Napier for "&amp;Bud_Yr&amp;":  avg "&amp;E146&amp;" hrs/week at $"&amp;F146&amp;"/hr ("&amp;ROUND(H146*100,1)&amp;"% incr.) for "&amp;G146&amp;" weeks.                                                     "&amp;Bud_Yr-1&amp;":  avg "&amp;I146&amp;" hrs/week at $"&amp;J146&amp;"/hr ("&amp;ROUND(L146*100,1)&amp;"% incr.) for "&amp;K146&amp;" weeks.   "&amp;Bud_Yr-2&amp;":  $"&amp;M146&amp;"/hour."</f>
        <v>Glenn Napier for 2020:  avg 7.5 hrs/week at $11.22/hr (2% incr.) for 52 weeks.                                                     2019:  avg 7.5 hrs/week at $11/hr (-2.2% incr.) for 52 weeks.   2018:  $11.25/hour.</v>
      </c>
      <c r="Y146" s="59"/>
      <c r="Z146" s="26"/>
      <c r="AA146" s="79"/>
    </row>
    <row r="147" spans="1:37">
      <c r="A147" s="43">
        <v>119</v>
      </c>
      <c r="C147" s="261" t="s">
        <v>55</v>
      </c>
      <c r="D147" s="271"/>
      <c r="E147" s="272"/>
      <c r="F147" s="273"/>
      <c r="G147" s="273"/>
      <c r="H147" s="273"/>
      <c r="I147" s="273"/>
      <c r="J147" s="273"/>
      <c r="K147" s="273"/>
      <c r="L147" s="273"/>
      <c r="M147" s="273"/>
      <c r="N147" s="273"/>
      <c r="O147" s="261"/>
      <c r="P147" s="279">
        <v>400</v>
      </c>
      <c r="Q147" s="258">
        <v>400</v>
      </c>
      <c r="R147" s="259">
        <f t="shared" si="45"/>
        <v>0</v>
      </c>
      <c r="S147" s="260">
        <f t="shared" si="46"/>
        <v>0</v>
      </c>
      <c r="T147" s="261"/>
      <c r="U147" s="279">
        <v>1000</v>
      </c>
      <c r="V147" s="258">
        <v>400</v>
      </c>
      <c r="W147" s="260">
        <f t="shared" si="47"/>
        <v>1.5</v>
      </c>
      <c r="X147" s="262" t="s">
        <v>436</v>
      </c>
      <c r="Y147" s="63"/>
      <c r="AA147" s="79"/>
      <c r="AD147" s="1">
        <f t="shared" ref="AD147:AF148" si="48">+$P147*AD$141</f>
        <v>133.20000000000002</v>
      </c>
      <c r="AE147" s="1">
        <f t="shared" si="48"/>
        <v>133.20000000000002</v>
      </c>
      <c r="AF147" s="1">
        <f t="shared" si="48"/>
        <v>133.6</v>
      </c>
      <c r="AH147" s="1">
        <f t="shared" ref="AH147:AJ148" si="49">+$U147*AH$141</f>
        <v>333</v>
      </c>
      <c r="AI147" s="1">
        <f t="shared" si="49"/>
        <v>333</v>
      </c>
      <c r="AJ147" s="1">
        <f t="shared" si="49"/>
        <v>334</v>
      </c>
    </row>
    <row r="148" spans="1:37">
      <c r="A148" s="43">
        <v>120</v>
      </c>
      <c r="C148" s="261" t="s">
        <v>99</v>
      </c>
      <c r="D148" s="271"/>
      <c r="E148" s="272"/>
      <c r="F148" s="273"/>
      <c r="G148" s="273"/>
      <c r="H148" s="273"/>
      <c r="I148" s="273"/>
      <c r="J148" s="273"/>
      <c r="K148" s="273"/>
      <c r="L148" s="273"/>
      <c r="M148" s="273"/>
      <c r="N148" s="273"/>
      <c r="O148" s="261"/>
      <c r="P148" s="279">
        <f>700</f>
        <v>700</v>
      </c>
      <c r="Q148" s="258">
        <v>700</v>
      </c>
      <c r="R148" s="259">
        <f t="shared" si="45"/>
        <v>0</v>
      </c>
      <c r="S148" s="260">
        <f t="shared" si="46"/>
        <v>0</v>
      </c>
      <c r="T148" s="261"/>
      <c r="U148" s="258">
        <v>351.88</v>
      </c>
      <c r="V148" s="258">
        <v>700</v>
      </c>
      <c r="W148" s="260">
        <f t="shared" si="47"/>
        <v>-0.49731428571428571</v>
      </c>
      <c r="X148" s="262"/>
      <c r="Y148" s="63"/>
      <c r="AA148" s="79"/>
      <c r="AD148" s="1">
        <f t="shared" si="48"/>
        <v>233.10000000000002</v>
      </c>
      <c r="AE148" s="1">
        <f t="shared" si="48"/>
        <v>233.10000000000002</v>
      </c>
      <c r="AF148" s="1">
        <f t="shared" si="48"/>
        <v>233.8</v>
      </c>
      <c r="AH148" s="1">
        <f t="shared" si="49"/>
        <v>117.17604</v>
      </c>
      <c r="AI148" s="1">
        <f t="shared" si="49"/>
        <v>117.17604</v>
      </c>
      <c r="AJ148" s="1">
        <f t="shared" si="49"/>
        <v>117.52792000000001</v>
      </c>
    </row>
    <row r="149" spans="1:37" ht="14" customHeight="1">
      <c r="C149" s="261" t="s">
        <v>116</v>
      </c>
      <c r="D149" s="271"/>
      <c r="E149" s="272"/>
      <c r="F149" s="273"/>
      <c r="G149" s="273"/>
      <c r="H149" s="330"/>
      <c r="I149" s="330"/>
      <c r="J149" s="330"/>
      <c r="K149" s="330"/>
      <c r="L149" s="330"/>
      <c r="M149" s="330"/>
      <c r="N149" s="330"/>
      <c r="O149" s="331"/>
      <c r="P149" s="295">
        <f>+'Band and Other Music'!D60</f>
        <v>925</v>
      </c>
      <c r="Q149" s="258">
        <v>925</v>
      </c>
      <c r="R149" s="259">
        <f t="shared" si="45"/>
        <v>0</v>
      </c>
      <c r="S149" s="260">
        <f>IF(Q149=0,"NA",(+P149-Q149)/Q149)</f>
        <v>0</v>
      </c>
      <c r="T149" s="261"/>
      <c r="U149" s="279">
        <v>225</v>
      </c>
      <c r="V149" s="258">
        <v>925</v>
      </c>
      <c r="W149" s="260">
        <f>IF(V149=0,"NA",(+U149-V149)/V149)</f>
        <v>-0.7567567567567568</v>
      </c>
      <c r="X149" s="262" t="s">
        <v>430</v>
      </c>
      <c r="Y149" s="59" t="s">
        <v>135</v>
      </c>
      <c r="AA149" s="79"/>
      <c r="AD149" s="1">
        <f t="shared" ref="AD149" si="50">+$P149</f>
        <v>925</v>
      </c>
      <c r="AH149" s="1">
        <f t="shared" ref="AH149" si="51">+$U149</f>
        <v>225</v>
      </c>
    </row>
    <row r="150" spans="1:37" ht="29">
      <c r="C150" s="662" t="s">
        <v>473</v>
      </c>
      <c r="D150" s="662"/>
      <c r="E150" s="323">
        <v>15</v>
      </c>
      <c r="F150" s="327">
        <f>ROUND(+J150*(1+H150),2)</f>
        <v>14.57</v>
      </c>
      <c r="G150" s="323">
        <v>52</v>
      </c>
      <c r="H150" s="325">
        <f>+$F$84</f>
        <v>0.02</v>
      </c>
      <c r="I150" s="323">
        <v>15</v>
      </c>
      <c r="J150" s="324">
        <v>14.28</v>
      </c>
      <c r="K150" s="323">
        <v>52</v>
      </c>
      <c r="L150" s="260">
        <f>IF(M150=0,0,(+J150-M150)/M150)</f>
        <v>1.9999999999999955E-2</v>
      </c>
      <c r="M150" s="324">
        <v>14</v>
      </c>
      <c r="N150" s="324">
        <v>14</v>
      </c>
      <c r="O150" s="261"/>
      <c r="P150" s="332">
        <f>ROUND(+E150*F150*G150,0)</f>
        <v>11365</v>
      </c>
      <c r="Q150" s="295">
        <f>ROUND(+I150*J150*K150,0)</f>
        <v>11138</v>
      </c>
      <c r="R150" s="259">
        <f>+P150-Q150</f>
        <v>227</v>
      </c>
      <c r="S150" s="260">
        <f>IF(Q150=0,"NA",(+P150-Q150)/Q150)</f>
        <v>2.0380678757407074E-2</v>
      </c>
      <c r="T150" s="261"/>
      <c r="U150" s="279">
        <v>12776.33</v>
      </c>
      <c r="V150" s="258">
        <v>11138</v>
      </c>
      <c r="W150" s="260">
        <f>IF(V150=0,"NA",(+U150-V150)/V150)</f>
        <v>0.1470937331657389</v>
      </c>
      <c r="X150" s="262" t="str">
        <f>"Heather Keszler:  "&amp;Bud_Yr&amp;":  avg "&amp;E150&amp;" hrs/week at $"&amp;F150&amp;"/hr ("&amp;ROUND(H150*100,1)&amp;"% incr.) for "&amp;G150&amp;" weeks.                       "&amp;Bud_Yr-1&amp;":  avg "&amp;I150&amp;" hrs/week at $"&amp;J150&amp;"/hr ("&amp;ROUND(L150*100,1)&amp;"% incr.) for "&amp;K150&amp;" weeks.   "</f>
        <v xml:space="preserve">Heather Keszler:  2020:  avg 15 hrs/week at $14.57/hr (2% incr.) for 52 weeks.                       2019:  avg 15 hrs/week at $14.28/hr (2% incr.) for 52 weeks.   </v>
      </c>
      <c r="Y150" s="60"/>
      <c r="AD150" s="1">
        <f>+$P150*AD$141</f>
        <v>3784.5450000000001</v>
      </c>
      <c r="AE150" s="1">
        <f t="shared" ref="AE150:AF152" si="52">+$P150*AE$141</f>
        <v>3784.5450000000001</v>
      </c>
      <c r="AF150" s="1">
        <f t="shared" si="52"/>
        <v>3795.9100000000003</v>
      </c>
      <c r="AH150" s="1">
        <f>+$U150*AH$141</f>
        <v>4254.5178900000001</v>
      </c>
      <c r="AI150" s="1">
        <f t="shared" ref="AI150:AJ152" si="53">+$U150*AI$141</f>
        <v>4254.5178900000001</v>
      </c>
      <c r="AJ150" s="1">
        <f t="shared" si="53"/>
        <v>4267.2942199999998</v>
      </c>
    </row>
    <row r="151" spans="1:37" ht="14.5" customHeight="1">
      <c r="A151" s="43">
        <v>123</v>
      </c>
      <c r="C151" s="261" t="s">
        <v>56</v>
      </c>
      <c r="D151" s="271"/>
      <c r="E151" s="333"/>
      <c r="F151" s="485"/>
      <c r="G151" s="333"/>
      <c r="H151" s="333"/>
      <c r="I151" s="333"/>
      <c r="J151" s="334"/>
      <c r="K151" s="335"/>
      <c r="L151" s="335"/>
      <c r="M151" s="336">
        <v>7.6499999999999999E-2</v>
      </c>
      <c r="N151" s="336"/>
      <c r="O151" s="261"/>
      <c r="P151" s="295">
        <f>ROUND((+P114+P124+P125+P139+P142+P143+P144+P149+P150+P153)*$M151,0)</f>
        <v>12642</v>
      </c>
      <c r="Q151" s="432">
        <f>ROUND((+Q114+Q124+Q125+Q139+Q142+Q144+Q149+Q153)*$M151,0)-143</f>
        <v>14349</v>
      </c>
      <c r="R151" s="259">
        <f t="shared" si="45"/>
        <v>-1707</v>
      </c>
      <c r="S151" s="260">
        <f t="shared" si="46"/>
        <v>-0.11896299393685972</v>
      </c>
      <c r="T151" s="261"/>
      <c r="U151" s="279">
        <v>13836.29</v>
      </c>
      <c r="V151" s="279">
        <v>14349</v>
      </c>
      <c r="W151" s="260">
        <f t="shared" si="47"/>
        <v>-3.5731409854345191E-2</v>
      </c>
      <c r="X151" s="321" t="s">
        <v>391</v>
      </c>
      <c r="Y151" s="63" t="s">
        <v>136</v>
      </c>
      <c r="AD151" s="1">
        <f t="shared" ref="AD151:AD152" si="54">+$P151*AD$141</f>
        <v>4209.7860000000001</v>
      </c>
      <c r="AE151" s="1">
        <f t="shared" si="52"/>
        <v>4209.7860000000001</v>
      </c>
      <c r="AF151" s="1">
        <f t="shared" si="52"/>
        <v>4222.4279999999999</v>
      </c>
      <c r="AH151" s="1">
        <f t="shared" ref="AH151:AH152" si="55">+$U151*AH$141</f>
        <v>4607.4845700000005</v>
      </c>
      <c r="AI151" s="1">
        <f t="shared" si="53"/>
        <v>4607.4845700000005</v>
      </c>
      <c r="AJ151" s="1">
        <f t="shared" si="53"/>
        <v>4621.3208600000007</v>
      </c>
    </row>
    <row r="152" spans="1:37" ht="14.4" customHeight="1">
      <c r="A152" s="43">
        <v>124</v>
      </c>
      <c r="C152" s="261" t="s">
        <v>57</v>
      </c>
      <c r="D152" s="271"/>
      <c r="E152" s="272"/>
      <c r="F152" s="486"/>
      <c r="G152" s="486"/>
      <c r="H152" s="486"/>
      <c r="I152" s="273"/>
      <c r="J152" s="273"/>
      <c r="K152" s="273"/>
      <c r="L152" s="273"/>
      <c r="M152" s="273"/>
      <c r="N152" s="273"/>
      <c r="O152" s="261"/>
      <c r="P152" s="279">
        <f>ROUND(875.25*4,0)</f>
        <v>3501</v>
      </c>
      <c r="Q152" s="258">
        <v>3384</v>
      </c>
      <c r="R152" s="259">
        <f t="shared" si="45"/>
        <v>117</v>
      </c>
      <c r="S152" s="260">
        <f t="shared" si="46"/>
        <v>3.4574468085106384E-2</v>
      </c>
      <c r="T152" s="261"/>
      <c r="U152" s="279">
        <v>4207.59</v>
      </c>
      <c r="V152" s="279">
        <v>3384</v>
      </c>
      <c r="W152" s="260">
        <f t="shared" si="47"/>
        <v>0.24337765957446814</v>
      </c>
      <c r="X152" s="257" t="s">
        <v>477</v>
      </c>
      <c r="Y152" s="63" t="s">
        <v>137</v>
      </c>
      <c r="AD152" s="1">
        <f t="shared" si="54"/>
        <v>1165.8330000000001</v>
      </c>
      <c r="AE152" s="1">
        <f t="shared" si="52"/>
        <v>1165.8330000000001</v>
      </c>
      <c r="AF152" s="1">
        <f t="shared" si="52"/>
        <v>1169.3340000000001</v>
      </c>
      <c r="AH152" s="1">
        <f t="shared" si="55"/>
        <v>1401.1274700000001</v>
      </c>
      <c r="AI152" s="1">
        <f t="shared" si="53"/>
        <v>1401.1274700000001</v>
      </c>
      <c r="AJ152" s="1">
        <f t="shared" si="53"/>
        <v>1405.3350600000001</v>
      </c>
    </row>
    <row r="153" spans="1:37">
      <c r="A153" s="43">
        <v>125</v>
      </c>
      <c r="C153" s="261" t="s">
        <v>58</v>
      </c>
      <c r="D153" s="271"/>
      <c r="P153" s="55">
        <v>1500</v>
      </c>
      <c r="Q153" s="53">
        <v>2000</v>
      </c>
      <c r="R153" s="38">
        <f t="shared" si="45"/>
        <v>-500</v>
      </c>
      <c r="S153" s="4">
        <f t="shared" si="46"/>
        <v>-0.25</v>
      </c>
      <c r="U153" s="55">
        <v>600</v>
      </c>
      <c r="V153" s="55">
        <v>2000</v>
      </c>
      <c r="W153" s="4">
        <f t="shared" si="47"/>
        <v>-0.7</v>
      </c>
      <c r="X153" s="257" t="s">
        <v>431</v>
      </c>
      <c r="Y153" s="59"/>
      <c r="AD153" s="1">
        <f t="shared" ref="AD153" si="56">+$P153</f>
        <v>1500</v>
      </c>
      <c r="AH153" s="1">
        <f t="shared" ref="AH153" si="57">+$U153</f>
        <v>600</v>
      </c>
    </row>
    <row r="154" spans="1:37" s="2" customFormat="1">
      <c r="A154" s="43">
        <v>127</v>
      </c>
      <c r="B154" s="24" t="s">
        <v>53</v>
      </c>
      <c r="C154" s="24"/>
      <c r="D154" s="24"/>
      <c r="E154" s="90"/>
      <c r="F154" s="90"/>
      <c r="G154" s="90"/>
      <c r="H154" s="90"/>
      <c r="I154" s="90"/>
      <c r="J154" s="90"/>
      <c r="K154" s="90"/>
      <c r="L154" s="90"/>
      <c r="M154" s="90"/>
      <c r="N154" s="90"/>
      <c r="O154" s="24"/>
      <c r="P154" s="24">
        <f>SUM(P142:P153)</f>
        <v>102241</v>
      </c>
      <c r="Q154" s="24">
        <f>SUM(Q142:Q153)</f>
        <v>102721</v>
      </c>
      <c r="R154" s="24">
        <f>SUM(R142:R153)</f>
        <v>-480</v>
      </c>
      <c r="S154" s="25">
        <f t="shared" si="46"/>
        <v>-4.672851705104117E-3</v>
      </c>
      <c r="U154" s="24">
        <f>SUM(U142:U153)</f>
        <v>105760.51000000001</v>
      </c>
      <c r="V154" s="24">
        <f>SUM(V142:V153)</f>
        <v>102721</v>
      </c>
      <c r="W154" s="25">
        <f t="shared" si="47"/>
        <v>2.9589957262877203E-2</v>
      </c>
      <c r="X154" s="76"/>
      <c r="Y154" s="62"/>
    </row>
    <row r="155" spans="1:37">
      <c r="A155" s="43">
        <v>128</v>
      </c>
      <c r="B155" s="24" t="s">
        <v>59</v>
      </c>
      <c r="C155" s="24"/>
      <c r="D155" s="24"/>
      <c r="E155" s="90"/>
      <c r="F155" s="25"/>
      <c r="G155" s="25"/>
      <c r="H155" s="25"/>
      <c r="I155" s="25"/>
      <c r="J155" s="25"/>
      <c r="K155" s="25"/>
      <c r="L155" s="25"/>
      <c r="M155" s="25"/>
      <c r="N155" s="25"/>
      <c r="O155" s="34"/>
      <c r="P155" s="24">
        <f>+P96+P111+P120+P126+P139+P154</f>
        <v>331746</v>
      </c>
      <c r="Q155" s="24">
        <f>+Q96+Q111+Q120+Q126+Q139+Q154</f>
        <v>326148.38049999997</v>
      </c>
      <c r="R155" s="24">
        <f>+R96+R111+R120+R126+R139+R154</f>
        <v>5597.6195000000007</v>
      </c>
      <c r="S155" s="25">
        <f t="shared" si="46"/>
        <v>1.7162800230430795E-2</v>
      </c>
      <c r="U155" s="24">
        <f>+U96+U111+U120+U126+U139+U154</f>
        <v>322861.90999999997</v>
      </c>
      <c r="V155" s="24">
        <f>+V96+V111+V120+V126+V139+V154</f>
        <v>326148</v>
      </c>
      <c r="W155" s="25">
        <f t="shared" si="47"/>
        <v>-1.0075456541202232E-2</v>
      </c>
      <c r="X155" s="75"/>
      <c r="Y155" s="60"/>
      <c r="AD155" s="1" t="s">
        <v>473</v>
      </c>
    </row>
    <row r="156" spans="1:37" ht="8.25" customHeight="1">
      <c r="A156" s="43">
        <v>129</v>
      </c>
      <c r="S156" s="5"/>
      <c r="X156" s="75"/>
      <c r="Y156" s="60"/>
    </row>
    <row r="157" spans="1:37" ht="18.5">
      <c r="A157" s="43">
        <v>130</v>
      </c>
      <c r="B157" s="7" t="s">
        <v>60</v>
      </c>
      <c r="P157" s="1">
        <f>875.25*4</f>
        <v>3501</v>
      </c>
      <c r="S157" s="5"/>
      <c r="X157" s="75"/>
      <c r="Y157" s="60"/>
    </row>
    <row r="158" spans="1:37">
      <c r="A158" s="43">
        <v>131</v>
      </c>
      <c r="B158" s="2" t="s">
        <v>61</v>
      </c>
      <c r="S158" s="5"/>
      <c r="X158" s="75"/>
      <c r="Y158" s="60"/>
    </row>
    <row r="159" spans="1:37" ht="14.5" customHeight="1">
      <c r="A159" s="43">
        <v>132</v>
      </c>
      <c r="C159" s="261" t="s">
        <v>63</v>
      </c>
      <c r="D159" s="271"/>
      <c r="P159" s="279">
        <v>12000</v>
      </c>
      <c r="Q159" s="279">
        <v>10500</v>
      </c>
      <c r="R159" s="259">
        <f t="shared" ref="R159:R166" si="58">+P159-Q159</f>
        <v>1500</v>
      </c>
      <c r="S159" s="260">
        <f t="shared" ref="S159:S167" si="59">IF(Q159=0,"NA",(+P159-Q159)/Q159)</f>
        <v>0.14285714285714285</v>
      </c>
      <c r="T159" s="261"/>
      <c r="U159" s="258">
        <v>11083.38</v>
      </c>
      <c r="V159" s="258">
        <v>10500</v>
      </c>
      <c r="W159" s="260">
        <f t="shared" ref="W159:W167" si="60">IF(V159=0,"NA",(+U159-V159)/V159)</f>
        <v>5.5559999999999922E-2</v>
      </c>
      <c r="X159" s="262" t="s">
        <v>437</v>
      </c>
      <c r="Y159" s="59" t="s">
        <v>138</v>
      </c>
      <c r="AG159" s="1">
        <f t="shared" ref="AG159:AG166" si="61">+$P159</f>
        <v>12000</v>
      </c>
      <c r="AK159" s="1">
        <f t="shared" ref="AK159:AK166" si="62">+$U159</f>
        <v>11083.38</v>
      </c>
    </row>
    <row r="160" spans="1:37" ht="14.5" customHeight="1">
      <c r="A160" s="43">
        <v>133</v>
      </c>
      <c r="C160" s="261" t="s">
        <v>64</v>
      </c>
      <c r="D160" s="271"/>
      <c r="P160" s="279">
        <v>10000</v>
      </c>
      <c r="Q160" s="279">
        <v>8160</v>
      </c>
      <c r="R160" s="259">
        <f t="shared" si="58"/>
        <v>1840</v>
      </c>
      <c r="S160" s="260">
        <f t="shared" si="59"/>
        <v>0.22549019607843138</v>
      </c>
      <c r="T160" s="261"/>
      <c r="U160" s="258">
        <v>10605.19</v>
      </c>
      <c r="V160" s="258">
        <v>8160</v>
      </c>
      <c r="W160" s="260">
        <f t="shared" si="60"/>
        <v>0.29965563725490202</v>
      </c>
      <c r="X160" s="612" t="s">
        <v>438</v>
      </c>
      <c r="Y160" s="67" t="s">
        <v>141</v>
      </c>
      <c r="AG160" s="1">
        <f t="shared" si="61"/>
        <v>10000</v>
      </c>
      <c r="AK160" s="1">
        <f t="shared" si="62"/>
        <v>10605.19</v>
      </c>
    </row>
    <row r="161" spans="1:37">
      <c r="A161" s="43">
        <v>134</v>
      </c>
      <c r="C161" s="266" t="s">
        <v>363</v>
      </c>
      <c r="D161" s="274"/>
      <c r="E161" s="435"/>
      <c r="F161" s="436"/>
      <c r="G161" s="436"/>
      <c r="H161" s="436"/>
      <c r="I161" s="436"/>
      <c r="J161" s="436"/>
      <c r="K161" s="436"/>
      <c r="L161" s="436"/>
      <c r="M161" s="436"/>
      <c r="N161" s="436"/>
      <c r="O161" s="452"/>
      <c r="P161" s="263">
        <v>4400</v>
      </c>
      <c r="Q161" s="263">
        <v>4500</v>
      </c>
      <c r="R161" s="264">
        <f t="shared" si="58"/>
        <v>-100</v>
      </c>
      <c r="S161" s="265">
        <f t="shared" si="59"/>
        <v>-2.2222222222222223E-2</v>
      </c>
      <c r="T161" s="266"/>
      <c r="U161" s="263">
        <v>4352.09</v>
      </c>
      <c r="V161" s="263">
        <v>4500</v>
      </c>
      <c r="W161" s="265">
        <f t="shared" si="60"/>
        <v>-3.2868888888888857E-2</v>
      </c>
      <c r="X161" s="440" t="s">
        <v>373</v>
      </c>
      <c r="Y161" s="66"/>
      <c r="AG161" s="1">
        <f t="shared" si="61"/>
        <v>4400</v>
      </c>
      <c r="AK161" s="1">
        <f t="shared" si="62"/>
        <v>4352.09</v>
      </c>
    </row>
    <row r="162" spans="1:37" ht="49.5" customHeight="1">
      <c r="C162" s="256"/>
      <c r="D162" s="268"/>
      <c r="O162" s="3"/>
      <c r="P162" s="253"/>
      <c r="Q162" s="253"/>
      <c r="R162" s="254"/>
      <c r="S162" s="255"/>
      <c r="T162" s="256"/>
      <c r="U162" s="253"/>
      <c r="V162" s="253"/>
      <c r="W162" s="255"/>
      <c r="X162" s="257" t="s">
        <v>399</v>
      </c>
      <c r="Y162" s="66"/>
    </row>
    <row r="163" spans="1:37" ht="14.5" customHeight="1">
      <c r="A163" s="43">
        <v>135</v>
      </c>
      <c r="C163" s="261" t="s">
        <v>66</v>
      </c>
      <c r="D163" s="271"/>
      <c r="P163" s="258">
        <v>1000</v>
      </c>
      <c r="Q163" s="258">
        <v>816</v>
      </c>
      <c r="R163" s="259">
        <f t="shared" si="58"/>
        <v>184</v>
      </c>
      <c r="S163" s="260">
        <f t="shared" si="59"/>
        <v>0.22549019607843138</v>
      </c>
      <c r="T163" s="261"/>
      <c r="U163" s="258">
        <v>984.88</v>
      </c>
      <c r="V163" s="258">
        <v>816</v>
      </c>
      <c r="W163" s="260">
        <f t="shared" si="60"/>
        <v>0.20696078431372547</v>
      </c>
      <c r="X163" s="262" t="s">
        <v>372</v>
      </c>
      <c r="Y163" s="59"/>
      <c r="AG163" s="1">
        <f t="shared" si="61"/>
        <v>1000</v>
      </c>
      <c r="AK163" s="1">
        <f t="shared" si="62"/>
        <v>984.88</v>
      </c>
    </row>
    <row r="164" spans="1:37" ht="14.5" customHeight="1">
      <c r="A164" s="43">
        <v>136</v>
      </c>
      <c r="C164" s="261" t="s">
        <v>67</v>
      </c>
      <c r="D164" s="271"/>
      <c r="P164" s="258">
        <v>350</v>
      </c>
      <c r="Q164" s="279">
        <v>300</v>
      </c>
      <c r="R164" s="259">
        <f t="shared" si="58"/>
        <v>50</v>
      </c>
      <c r="S164" s="260">
        <f t="shared" si="59"/>
        <v>0.16666666666666666</v>
      </c>
      <c r="T164" s="261"/>
      <c r="U164" s="258">
        <v>263.39999999999998</v>
      </c>
      <c r="V164" s="258">
        <v>300</v>
      </c>
      <c r="W164" s="260">
        <f t="shared" si="60"/>
        <v>-0.12200000000000008</v>
      </c>
      <c r="X164" s="262" t="s">
        <v>372</v>
      </c>
      <c r="Y164" s="67" t="s">
        <v>142</v>
      </c>
      <c r="AG164" s="1">
        <f t="shared" si="61"/>
        <v>350</v>
      </c>
      <c r="AK164" s="1">
        <f t="shared" si="62"/>
        <v>263.39999999999998</v>
      </c>
    </row>
    <row r="165" spans="1:37" ht="29.5" customHeight="1">
      <c r="A165" s="43">
        <v>137</v>
      </c>
      <c r="C165" s="261" t="s">
        <v>68</v>
      </c>
      <c r="D165" s="271"/>
      <c r="H165" s="91"/>
      <c r="I165" s="91"/>
      <c r="J165" s="91"/>
      <c r="K165" s="91"/>
      <c r="L165" s="91"/>
      <c r="M165" s="91"/>
      <c r="N165" s="91"/>
      <c r="P165" s="258">
        <f>50*12/12*5</f>
        <v>250</v>
      </c>
      <c r="Q165" s="279">
        <f>50*12</f>
        <v>600</v>
      </c>
      <c r="R165" s="259">
        <f t="shared" si="58"/>
        <v>-350</v>
      </c>
      <c r="S165" s="260">
        <f t="shared" si="59"/>
        <v>-0.58333333333333337</v>
      </c>
      <c r="T165" s="261"/>
      <c r="U165" s="258">
        <v>795.19</v>
      </c>
      <c r="V165" s="258">
        <v>600</v>
      </c>
      <c r="W165" s="260">
        <f t="shared" si="60"/>
        <v>0.32531666666666675</v>
      </c>
      <c r="X165" s="257" t="s">
        <v>388</v>
      </c>
      <c r="Y165" s="63" t="s">
        <v>400</v>
      </c>
      <c r="AG165" s="1">
        <f t="shared" si="61"/>
        <v>250</v>
      </c>
      <c r="AK165" s="1">
        <f t="shared" si="62"/>
        <v>795.19</v>
      </c>
    </row>
    <row r="166" spans="1:37" ht="29.5" customHeight="1">
      <c r="A166" s="43">
        <v>138</v>
      </c>
      <c r="C166" s="261" t="s">
        <v>104</v>
      </c>
      <c r="D166" s="271"/>
      <c r="P166" s="258">
        <f>1600*3</f>
        <v>4800</v>
      </c>
      <c r="Q166" s="263">
        <v>4500</v>
      </c>
      <c r="R166" s="264">
        <f t="shared" si="58"/>
        <v>300</v>
      </c>
      <c r="S166" s="265">
        <f t="shared" si="59"/>
        <v>6.6666666666666666E-2</v>
      </c>
      <c r="T166" s="266"/>
      <c r="U166" s="263">
        <v>5100.17</v>
      </c>
      <c r="V166" s="263">
        <v>4500</v>
      </c>
      <c r="W166" s="265">
        <f t="shared" si="60"/>
        <v>0.13337111111111113</v>
      </c>
      <c r="X166" s="262" t="s">
        <v>439</v>
      </c>
      <c r="Y166" s="59"/>
      <c r="AG166" s="1">
        <f t="shared" si="61"/>
        <v>4800</v>
      </c>
      <c r="AK166" s="1">
        <f t="shared" si="62"/>
        <v>5100.17</v>
      </c>
    </row>
    <row r="167" spans="1:37" s="2" customFormat="1">
      <c r="A167" s="43">
        <v>139</v>
      </c>
      <c r="B167" s="27" t="s">
        <v>69</v>
      </c>
      <c r="C167" s="27"/>
      <c r="D167" s="27"/>
      <c r="E167" s="92"/>
      <c r="F167" s="92"/>
      <c r="G167" s="92"/>
      <c r="H167" s="92"/>
      <c r="I167" s="92"/>
      <c r="J167" s="92"/>
      <c r="K167" s="92"/>
      <c r="L167" s="92"/>
      <c r="M167" s="92"/>
      <c r="N167" s="92"/>
      <c r="O167" s="27"/>
      <c r="P167" s="27">
        <f>SUM(P159:P166)</f>
        <v>32800</v>
      </c>
      <c r="Q167" s="27">
        <f>SUM(Q159:Q166)</f>
        <v>29376</v>
      </c>
      <c r="R167" s="27">
        <f>SUM(R159:R166)</f>
        <v>3424</v>
      </c>
      <c r="S167" s="28">
        <f t="shared" si="59"/>
        <v>0.11655773420479303</v>
      </c>
      <c r="U167" s="27">
        <f>SUM(U159:U166)</f>
        <v>33184.300000000003</v>
      </c>
      <c r="V167" s="27">
        <f>SUM(V159:V166)</f>
        <v>29376</v>
      </c>
      <c r="W167" s="28">
        <f t="shared" si="60"/>
        <v>0.12963984204793039</v>
      </c>
      <c r="X167" s="76"/>
      <c r="Y167" s="62"/>
      <c r="AK167" s="1"/>
    </row>
    <row r="168" spans="1:37" s="2" customFormat="1" ht="6.75" customHeight="1">
      <c r="A168" s="43">
        <v>140</v>
      </c>
      <c r="B168" s="15"/>
      <c r="C168" s="15"/>
      <c r="D168" s="15"/>
      <c r="E168" s="82"/>
      <c r="F168" s="82"/>
      <c r="G168" s="82"/>
      <c r="H168" s="82"/>
      <c r="I168" s="82"/>
      <c r="J168" s="82"/>
      <c r="K168" s="82"/>
      <c r="L168" s="82"/>
      <c r="M168" s="82"/>
      <c r="N168" s="82"/>
      <c r="O168" s="15"/>
      <c r="P168" s="15"/>
      <c r="Q168" s="15"/>
      <c r="R168" s="15"/>
      <c r="S168" s="18"/>
      <c r="U168" s="15"/>
      <c r="V168" s="15"/>
      <c r="W168" s="18"/>
      <c r="X168" s="76"/>
      <c r="Y168" s="62"/>
    </row>
    <row r="169" spans="1:37">
      <c r="A169" s="43">
        <v>141</v>
      </c>
      <c r="B169" s="2" t="s">
        <v>70</v>
      </c>
      <c r="S169" s="5"/>
      <c r="X169" s="75"/>
      <c r="Y169" s="60"/>
    </row>
    <row r="170" spans="1:37" ht="29">
      <c r="A170" s="43">
        <v>142</v>
      </c>
      <c r="C170" s="256" t="s">
        <v>71</v>
      </c>
      <c r="D170" s="268"/>
      <c r="E170" s="269"/>
      <c r="F170" s="270"/>
      <c r="G170" s="270"/>
      <c r="H170" s="270"/>
      <c r="I170" s="270"/>
      <c r="J170" s="270"/>
      <c r="K170" s="270"/>
      <c r="L170" s="270"/>
      <c r="M170" s="270"/>
      <c r="N170" s="270"/>
      <c r="O170" s="256"/>
      <c r="P170" s="281">
        <v>15500</v>
      </c>
      <c r="Q170" s="281">
        <v>16900</v>
      </c>
      <c r="R170" s="254">
        <f t="shared" ref="R170:R176" si="63">+P170-Q170</f>
        <v>-1400</v>
      </c>
      <c r="S170" s="255">
        <f t="shared" ref="S170:S178" si="64">IF(Q170=0,"NA",(+P170-Q170)/Q170)</f>
        <v>-8.2840236686390539E-2</v>
      </c>
      <c r="T170" s="256"/>
      <c r="U170" s="253">
        <v>17282</v>
      </c>
      <c r="V170" s="253">
        <v>16900</v>
      </c>
      <c r="W170" s="255">
        <f t="shared" ref="W170:W178" si="65">IF(V170=0,"NA",(+U170-V170)/V170)</f>
        <v>2.2603550295857987E-2</v>
      </c>
      <c r="X170" s="257" t="s">
        <v>374</v>
      </c>
      <c r="Y170" s="59" t="s">
        <v>143</v>
      </c>
      <c r="AG170" s="1">
        <f t="shared" ref="AG170:AG175" si="66">+$P170</f>
        <v>15500</v>
      </c>
      <c r="AK170" s="1">
        <f t="shared" ref="AK170:AK175" si="67">+$U170</f>
        <v>17282</v>
      </c>
    </row>
    <row r="171" spans="1:37">
      <c r="A171" s="43">
        <v>143</v>
      </c>
      <c r="C171" s="261" t="s">
        <v>72</v>
      </c>
      <c r="D171" s="271"/>
      <c r="E171" s="272"/>
      <c r="F171" s="273"/>
      <c r="G171" s="273"/>
      <c r="H171" s="273"/>
      <c r="I171" s="273"/>
      <c r="J171" s="273"/>
      <c r="K171" s="273"/>
      <c r="L171" s="273"/>
      <c r="M171" s="273"/>
      <c r="N171" s="273"/>
      <c r="O171" s="261"/>
      <c r="P171" s="258">
        <v>5000</v>
      </c>
      <c r="Q171" s="258">
        <v>4500</v>
      </c>
      <c r="R171" s="259">
        <f t="shared" si="63"/>
        <v>500</v>
      </c>
      <c r="S171" s="260">
        <f t="shared" si="64"/>
        <v>0.1111111111111111</v>
      </c>
      <c r="T171" s="261"/>
      <c r="U171" s="258">
        <v>7144.6</v>
      </c>
      <c r="V171" s="258">
        <v>4500</v>
      </c>
      <c r="W171" s="260">
        <f t="shared" si="65"/>
        <v>0.58768888888888893</v>
      </c>
      <c r="X171" s="262" t="s">
        <v>449</v>
      </c>
      <c r="Y171" s="59"/>
      <c r="AG171" s="1">
        <f t="shared" si="66"/>
        <v>5000</v>
      </c>
      <c r="AK171" s="1">
        <f t="shared" si="67"/>
        <v>7144.6</v>
      </c>
    </row>
    <row r="172" spans="1:37">
      <c r="A172" s="43">
        <v>144</v>
      </c>
      <c r="C172" s="261" t="s">
        <v>97</v>
      </c>
      <c r="D172" s="271"/>
      <c r="E172" s="272"/>
      <c r="F172" s="273"/>
      <c r="G172" s="273"/>
      <c r="H172" s="273"/>
      <c r="I172" s="273"/>
      <c r="J172" s="273"/>
      <c r="K172" s="273"/>
      <c r="L172" s="273"/>
      <c r="M172" s="273"/>
      <c r="N172" s="273"/>
      <c r="O172" s="261"/>
      <c r="P172" s="258">
        <v>4500</v>
      </c>
      <c r="Q172" s="258">
        <v>4000</v>
      </c>
      <c r="R172" s="259">
        <f t="shared" si="63"/>
        <v>500</v>
      </c>
      <c r="S172" s="260">
        <f t="shared" si="64"/>
        <v>0.125</v>
      </c>
      <c r="T172" s="261"/>
      <c r="U172" s="258">
        <v>8666.84</v>
      </c>
      <c r="V172" s="258">
        <v>4000</v>
      </c>
      <c r="W172" s="260">
        <f t="shared" si="65"/>
        <v>1.1667100000000001</v>
      </c>
      <c r="X172" s="262" t="s">
        <v>450</v>
      </c>
      <c r="Y172" s="59"/>
      <c r="AG172" s="1">
        <f t="shared" si="66"/>
        <v>4500</v>
      </c>
      <c r="AK172" s="1">
        <f t="shared" si="67"/>
        <v>8666.84</v>
      </c>
    </row>
    <row r="173" spans="1:37" ht="29">
      <c r="A173" s="43">
        <v>145</v>
      </c>
      <c r="C173" s="657" t="s">
        <v>100</v>
      </c>
      <c r="D173" s="657"/>
      <c r="E173" s="444"/>
      <c r="F173" s="444"/>
      <c r="G173" s="444"/>
      <c r="H173" s="444"/>
      <c r="I173" s="444"/>
      <c r="J173" s="444"/>
      <c r="K173" s="444"/>
      <c r="L173" s="444"/>
      <c r="M173" s="444"/>
      <c r="N173" s="444"/>
      <c r="O173" s="443"/>
      <c r="P173" s="280">
        <v>6000</v>
      </c>
      <c r="Q173" s="263">
        <v>8000</v>
      </c>
      <c r="R173" s="264">
        <f t="shared" si="63"/>
        <v>-2000</v>
      </c>
      <c r="S173" s="265">
        <f t="shared" si="64"/>
        <v>-0.25</v>
      </c>
      <c r="T173" s="266"/>
      <c r="U173" s="263">
        <v>5014.6400000000003</v>
      </c>
      <c r="V173" s="263">
        <v>8000</v>
      </c>
      <c r="W173" s="265">
        <f t="shared" si="65"/>
        <v>-0.37316999999999995</v>
      </c>
      <c r="X173" s="267" t="s">
        <v>375</v>
      </c>
      <c r="Y173" s="59"/>
      <c r="AG173" s="1">
        <f t="shared" si="66"/>
        <v>6000</v>
      </c>
      <c r="AK173" s="1">
        <f t="shared" si="67"/>
        <v>5014.6400000000003</v>
      </c>
    </row>
    <row r="174" spans="1:37" ht="43.5">
      <c r="C174" s="445"/>
      <c r="D174" s="445"/>
      <c r="E174" s="446"/>
      <c r="F174" s="446"/>
      <c r="G174" s="446"/>
      <c r="H174" s="446"/>
      <c r="I174" s="446"/>
      <c r="J174" s="446"/>
      <c r="K174" s="446"/>
      <c r="L174" s="446"/>
      <c r="M174" s="446"/>
      <c r="N174" s="446"/>
      <c r="O174" s="445"/>
      <c r="P174" s="441"/>
      <c r="Q174" s="437"/>
      <c r="R174" s="438"/>
      <c r="S174" s="439"/>
      <c r="T174" s="433"/>
      <c r="U174" s="437"/>
      <c r="V174" s="437"/>
      <c r="W174" s="439"/>
      <c r="X174" s="257" t="s">
        <v>200</v>
      </c>
      <c r="Y174" s="59"/>
    </row>
    <row r="175" spans="1:37" ht="42.75" customHeight="1">
      <c r="A175" s="43">
        <v>146</v>
      </c>
      <c r="C175" s="266" t="s">
        <v>73</v>
      </c>
      <c r="D175" s="274"/>
      <c r="E175" s="275"/>
      <c r="F175" s="276"/>
      <c r="G175" s="276"/>
      <c r="H175" s="276"/>
      <c r="I175" s="276"/>
      <c r="J175" s="276"/>
      <c r="K175" s="276"/>
      <c r="L175" s="276"/>
      <c r="M175" s="276"/>
      <c r="N175" s="276"/>
      <c r="O175" s="266"/>
      <c r="P175" s="263">
        <v>10000</v>
      </c>
      <c r="Q175" s="263">
        <v>8000</v>
      </c>
      <c r="R175" s="264">
        <f t="shared" si="63"/>
        <v>2000</v>
      </c>
      <c r="S175" s="265">
        <f t="shared" si="64"/>
        <v>0.25</v>
      </c>
      <c r="T175" s="266"/>
      <c r="U175" s="609">
        <v>10397.39</v>
      </c>
      <c r="V175" s="263">
        <v>8000</v>
      </c>
      <c r="W175" s="265">
        <f t="shared" si="65"/>
        <v>0.29967374999999991</v>
      </c>
      <c r="X175" s="267" t="s">
        <v>342</v>
      </c>
      <c r="Y175" s="59"/>
      <c r="AG175" s="1">
        <f t="shared" si="66"/>
        <v>10000</v>
      </c>
      <c r="AK175" s="1">
        <f t="shared" si="67"/>
        <v>10397.39</v>
      </c>
    </row>
    <row r="176" spans="1:37" hidden="1">
      <c r="A176" s="43">
        <v>149</v>
      </c>
      <c r="C176" s="1" t="s">
        <v>74</v>
      </c>
      <c r="P176" s="53">
        <v>0</v>
      </c>
      <c r="Q176" s="53">
        <v>0</v>
      </c>
      <c r="R176" s="38">
        <f t="shared" si="63"/>
        <v>0</v>
      </c>
      <c r="S176" s="4" t="str">
        <f t="shared" si="64"/>
        <v>NA</v>
      </c>
      <c r="U176" s="53">
        <v>0</v>
      </c>
      <c r="V176" s="53">
        <v>0</v>
      </c>
      <c r="W176" s="4" t="str">
        <f t="shared" si="65"/>
        <v>NA</v>
      </c>
      <c r="X176" s="76"/>
      <c r="Y176" s="63"/>
    </row>
    <row r="177" spans="1:37" s="2" customFormat="1">
      <c r="A177" s="43">
        <v>150</v>
      </c>
      <c r="B177" s="27" t="s">
        <v>75</v>
      </c>
      <c r="C177" s="27"/>
      <c r="D177" s="27"/>
      <c r="E177" s="92"/>
      <c r="F177" s="92"/>
      <c r="G177" s="92"/>
      <c r="H177" s="92"/>
      <c r="I177" s="92"/>
      <c r="J177" s="92"/>
      <c r="K177" s="92"/>
      <c r="L177" s="92"/>
      <c r="M177" s="92"/>
      <c r="N177" s="92"/>
      <c r="O177" s="27"/>
      <c r="P177" s="27">
        <f>SUM(P170:P176)</f>
        <v>41000</v>
      </c>
      <c r="Q177" s="27">
        <f>SUM(Q170:Q176)</f>
        <v>41400</v>
      </c>
      <c r="R177" s="27">
        <f>SUM(R170:R176)</f>
        <v>-400</v>
      </c>
      <c r="S177" s="28">
        <f t="shared" si="64"/>
        <v>-9.6618357487922701E-3</v>
      </c>
      <c r="U177" s="27">
        <f>SUM(U170:U176)</f>
        <v>48505.47</v>
      </c>
      <c r="V177" s="27">
        <f>SUM(V170:V176)</f>
        <v>41400</v>
      </c>
      <c r="W177" s="28">
        <f t="shared" si="65"/>
        <v>0.17162971014492756</v>
      </c>
      <c r="X177" s="76" t="s">
        <v>428</v>
      </c>
      <c r="Y177" s="62"/>
    </row>
    <row r="178" spans="1:37">
      <c r="A178" s="43">
        <v>151</v>
      </c>
      <c r="B178" s="27" t="s">
        <v>76</v>
      </c>
      <c r="C178" s="27"/>
      <c r="D178" s="27"/>
      <c r="E178" s="92"/>
      <c r="F178" s="92"/>
      <c r="G178" s="92"/>
      <c r="H178" s="92"/>
      <c r="I178" s="92"/>
      <c r="J178" s="92"/>
      <c r="K178" s="92"/>
      <c r="L178" s="92"/>
      <c r="M178" s="92"/>
      <c r="N178" s="92"/>
      <c r="O178" s="27"/>
      <c r="P178" s="27">
        <f>+P167+P177</f>
        <v>73800</v>
      </c>
      <c r="Q178" s="27">
        <f>+Q167+Q177</f>
        <v>70776</v>
      </c>
      <c r="R178" s="27">
        <f>+R167+R177</f>
        <v>3024</v>
      </c>
      <c r="S178" s="28">
        <f t="shared" si="64"/>
        <v>4.2726347914547304E-2</v>
      </c>
      <c r="U178" s="27">
        <f>+U167+U177</f>
        <v>81689.77</v>
      </c>
      <c r="V178" s="27">
        <f>+V167+V177</f>
        <v>70776</v>
      </c>
      <c r="W178" s="28">
        <f t="shared" si="65"/>
        <v>0.15420156550243025</v>
      </c>
      <c r="X178" s="75"/>
      <c r="Y178" s="60"/>
    </row>
    <row r="179" spans="1:37" ht="4.5" customHeight="1">
      <c r="A179" s="43">
        <v>152</v>
      </c>
      <c r="S179" s="5"/>
      <c r="X179" s="75"/>
      <c r="Y179" s="60"/>
    </row>
    <row r="180" spans="1:37" ht="18.5">
      <c r="A180" s="43">
        <v>153</v>
      </c>
      <c r="B180" s="7" t="s">
        <v>77</v>
      </c>
      <c r="S180" s="5"/>
      <c r="X180" s="75"/>
      <c r="Y180" s="60"/>
    </row>
    <row r="181" spans="1:37">
      <c r="A181" s="43">
        <v>154</v>
      </c>
      <c r="B181" s="2" t="s">
        <v>78</v>
      </c>
      <c r="S181" s="5"/>
      <c r="X181" s="75"/>
      <c r="Y181" s="60"/>
    </row>
    <row r="182" spans="1:37" ht="29">
      <c r="C182" s="256" t="s">
        <v>79</v>
      </c>
      <c r="D182" s="268"/>
      <c r="E182" s="269"/>
      <c r="F182" s="270"/>
      <c r="G182" s="270"/>
      <c r="H182" s="270"/>
      <c r="I182" s="270"/>
      <c r="J182" s="270"/>
      <c r="K182" s="270"/>
      <c r="L182" s="270"/>
      <c r="M182" s="270"/>
      <c r="N182" s="270"/>
      <c r="O182" s="256"/>
      <c r="P182" s="281">
        <v>0</v>
      </c>
      <c r="Q182" s="281">
        <v>0</v>
      </c>
      <c r="R182" s="254">
        <f t="shared" ref="R182:R187" si="68">+P182-Q182</f>
        <v>0</v>
      </c>
      <c r="S182" s="255" t="str">
        <f t="shared" ref="S182:S188" si="69">IF(Q182=0,"NA",(+P182-Q182)/Q182)</f>
        <v>NA</v>
      </c>
      <c r="T182" s="256"/>
      <c r="U182" s="253">
        <v>3000</v>
      </c>
      <c r="V182" s="253">
        <v>0</v>
      </c>
      <c r="W182" s="255" t="str">
        <f t="shared" ref="W182:W188" si="70">IF(V182=0,"NA",(+U182-V182)/V182)</f>
        <v>NA</v>
      </c>
      <c r="X182" s="257" t="s">
        <v>401</v>
      </c>
      <c r="Y182" s="59"/>
    </row>
    <row r="183" spans="1:37" hidden="1">
      <c r="C183" s="261" t="s">
        <v>193</v>
      </c>
      <c r="D183" s="271"/>
      <c r="E183" s="272"/>
      <c r="F183" s="273"/>
      <c r="G183" s="273"/>
      <c r="H183" s="273"/>
      <c r="I183" s="273"/>
      <c r="J183" s="273"/>
      <c r="K183" s="273"/>
      <c r="L183" s="273"/>
      <c r="M183" s="273"/>
      <c r="N183" s="273"/>
      <c r="O183" s="261"/>
      <c r="P183" s="279">
        <v>0</v>
      </c>
      <c r="Q183" s="279">
        <v>0</v>
      </c>
      <c r="R183" s="259">
        <f t="shared" si="68"/>
        <v>0</v>
      </c>
      <c r="S183" s="260" t="str">
        <f t="shared" si="69"/>
        <v>NA</v>
      </c>
      <c r="T183" s="261"/>
      <c r="U183" s="258">
        <v>0</v>
      </c>
      <c r="V183" s="258">
        <v>0</v>
      </c>
      <c r="W183" s="260" t="str">
        <f t="shared" si="70"/>
        <v>NA</v>
      </c>
      <c r="X183" s="262"/>
      <c r="Y183" s="59"/>
    </row>
    <row r="184" spans="1:37" ht="43.5">
      <c r="A184" s="43">
        <v>156</v>
      </c>
      <c r="C184" s="261" t="s">
        <v>152</v>
      </c>
      <c r="D184" s="271"/>
      <c r="E184" s="272"/>
      <c r="F184" s="273"/>
      <c r="G184" s="273"/>
      <c r="H184" s="273"/>
      <c r="I184" s="273"/>
      <c r="J184" s="273"/>
      <c r="K184" s="273"/>
      <c r="L184" s="273"/>
      <c r="M184" s="273"/>
      <c r="N184" s="273"/>
      <c r="O184" s="261"/>
      <c r="P184" s="279">
        <v>0</v>
      </c>
      <c r="Q184" s="279">
        <v>12000</v>
      </c>
      <c r="R184" s="259">
        <f t="shared" si="68"/>
        <v>-12000</v>
      </c>
      <c r="S184" s="260">
        <f t="shared" si="69"/>
        <v>-1</v>
      </c>
      <c r="T184" s="261"/>
      <c r="U184" s="279">
        <v>15230.02</v>
      </c>
      <c r="V184" s="258">
        <v>12000</v>
      </c>
      <c r="W184" s="260">
        <f t="shared" si="70"/>
        <v>0.26916833333333334</v>
      </c>
      <c r="X184" s="262" t="s">
        <v>402</v>
      </c>
      <c r="Y184" s="59"/>
    </row>
    <row r="185" spans="1:37" ht="29">
      <c r="A185" s="43">
        <v>157</v>
      </c>
      <c r="C185" s="261" t="s">
        <v>157</v>
      </c>
      <c r="D185" s="271"/>
      <c r="E185" s="272"/>
      <c r="F185" s="273"/>
      <c r="G185" s="273"/>
      <c r="H185" s="273"/>
      <c r="I185" s="273"/>
      <c r="J185" s="273"/>
      <c r="K185" s="273"/>
      <c r="L185" s="273"/>
      <c r="M185" s="273"/>
      <c r="N185" s="273"/>
      <c r="O185" s="261"/>
      <c r="P185" s="279">
        <v>16</v>
      </c>
      <c r="Q185" s="279">
        <v>521</v>
      </c>
      <c r="R185" s="259">
        <f t="shared" si="68"/>
        <v>-505</v>
      </c>
      <c r="S185" s="260">
        <f t="shared" si="69"/>
        <v>-0.96928982725527835</v>
      </c>
      <c r="T185" s="261"/>
      <c r="U185" s="279">
        <v>6000</v>
      </c>
      <c r="V185" s="258">
        <v>521</v>
      </c>
      <c r="W185" s="260">
        <f t="shared" si="70"/>
        <v>10.516314779270633</v>
      </c>
      <c r="X185" s="262" t="s">
        <v>239</v>
      </c>
      <c r="Y185" s="60"/>
    </row>
    <row r="186" spans="1:37" ht="29">
      <c r="A186" s="43">
        <v>157</v>
      </c>
      <c r="C186" s="266" t="s">
        <v>187</v>
      </c>
      <c r="D186" s="274"/>
      <c r="E186" s="275"/>
      <c r="F186" s="276"/>
      <c r="G186" s="276"/>
      <c r="H186" s="276"/>
      <c r="I186" s="276"/>
      <c r="J186" s="276"/>
      <c r="K186" s="276"/>
      <c r="L186" s="276"/>
      <c r="M186" s="276"/>
      <c r="N186" s="276"/>
      <c r="O186" s="266"/>
      <c r="P186" s="280">
        <v>0</v>
      </c>
      <c r="Q186" s="280">
        <v>0</v>
      </c>
      <c r="R186" s="264">
        <f t="shared" si="68"/>
        <v>0</v>
      </c>
      <c r="S186" s="265" t="str">
        <f t="shared" si="69"/>
        <v>NA</v>
      </c>
      <c r="T186" s="266"/>
      <c r="U186" s="263">
        <v>0</v>
      </c>
      <c r="V186" s="263">
        <v>0</v>
      </c>
      <c r="W186" s="265" t="str">
        <f t="shared" si="70"/>
        <v>NA</v>
      </c>
      <c r="X186" s="267" t="s">
        <v>188</v>
      </c>
      <c r="Y186" s="60"/>
    </row>
    <row r="187" spans="1:37" hidden="1">
      <c r="A187" s="43">
        <v>158</v>
      </c>
      <c r="C187" s="1" t="s">
        <v>80</v>
      </c>
      <c r="P187" s="55">
        <v>0</v>
      </c>
      <c r="Q187" s="55">
        <v>0</v>
      </c>
      <c r="R187" s="38">
        <f t="shared" si="68"/>
        <v>0</v>
      </c>
      <c r="S187" s="4" t="str">
        <f t="shared" si="69"/>
        <v>NA</v>
      </c>
      <c r="U187" s="53">
        <v>0</v>
      </c>
      <c r="V187" s="53">
        <v>0</v>
      </c>
      <c r="W187" s="4" t="str">
        <f t="shared" si="70"/>
        <v>NA</v>
      </c>
      <c r="X187" s="63"/>
      <c r="Y187" s="63" t="s">
        <v>139</v>
      </c>
    </row>
    <row r="188" spans="1:37" s="2" customFormat="1">
      <c r="A188" s="43">
        <v>159</v>
      </c>
      <c r="B188" s="29" t="s">
        <v>81</v>
      </c>
      <c r="C188" s="29"/>
      <c r="D188" s="29"/>
      <c r="E188" s="93"/>
      <c r="F188" s="93"/>
      <c r="G188" s="93"/>
      <c r="H188" s="93"/>
      <c r="I188" s="93"/>
      <c r="J188" s="93"/>
      <c r="K188" s="93"/>
      <c r="L188" s="93"/>
      <c r="M188" s="93"/>
      <c r="N188" s="93"/>
      <c r="O188" s="29"/>
      <c r="P188" s="29">
        <f>SUM(P182:P187)</f>
        <v>16</v>
      </c>
      <c r="Q188" s="29">
        <f>SUM(Q182:Q187)</f>
        <v>12521</v>
      </c>
      <c r="R188" s="29">
        <f>SUM(R182:R187)</f>
        <v>-12505</v>
      </c>
      <c r="S188" s="30">
        <f t="shared" si="69"/>
        <v>-0.99872214679338711</v>
      </c>
      <c r="U188" s="29">
        <f>SUM(U182:U187)</f>
        <v>24230.02</v>
      </c>
      <c r="V188" s="29">
        <f>SUM(V182:V187)</f>
        <v>12521</v>
      </c>
      <c r="W188" s="30">
        <f t="shared" si="70"/>
        <v>0.93515054708090417</v>
      </c>
      <c r="X188" s="76"/>
      <c r="Y188" s="62"/>
    </row>
    <row r="189" spans="1:37" ht="7.5" customHeight="1">
      <c r="A189" s="43">
        <v>160</v>
      </c>
      <c r="D189" s="1"/>
      <c r="E189" s="39"/>
      <c r="S189" s="5"/>
      <c r="X189" s="75"/>
      <c r="Y189" s="60"/>
    </row>
    <row r="190" spans="1:37">
      <c r="A190" s="43">
        <v>161</v>
      </c>
      <c r="B190" s="31" t="s">
        <v>82</v>
      </c>
      <c r="C190" s="32"/>
      <c r="D190" s="32"/>
      <c r="E190" s="94"/>
      <c r="F190" s="94"/>
      <c r="G190" s="94"/>
      <c r="H190" s="94"/>
      <c r="I190" s="94"/>
      <c r="J190" s="94"/>
      <c r="K190" s="94"/>
      <c r="L190" s="94"/>
      <c r="M190" s="94"/>
      <c r="N190" s="94"/>
      <c r="O190" s="32"/>
      <c r="P190" s="31">
        <f>P30+P82+P155+P178+P188</f>
        <v>500627</v>
      </c>
      <c r="Q190" s="31">
        <f>+Q82+Q155+Q178+Q188+Q30</f>
        <v>513300.38049999997</v>
      </c>
      <c r="R190" s="31">
        <f>+R82+R155+R178+R188+R30</f>
        <v>-2663.3804999999993</v>
      </c>
      <c r="S190" s="33">
        <f>IF(Q190=0,"NA",(+P190-Q190)/Q190)</f>
        <v>-2.4689988516382894E-2</v>
      </c>
      <c r="U190" s="31">
        <f>+U82+U155+U178+U188+U30</f>
        <v>526091.91999999993</v>
      </c>
      <c r="V190" s="31">
        <f>+V82+V155+V178+V188+V30</f>
        <v>513300</v>
      </c>
      <c r="W190" s="33">
        <f>IF(V190=0,"NA",(+U190-V190)/V190)</f>
        <v>2.4920942918371179E-2</v>
      </c>
      <c r="X190" s="75"/>
      <c r="Y190" s="60"/>
      <c r="AD190" s="422">
        <f>+SUM(AD5:AD188)</f>
        <v>157592.79100000003</v>
      </c>
      <c r="AE190" s="422">
        <f t="shared" ref="AE190:AK190" si="71">+SUM(AE5:AE188)</f>
        <v>106412.19100000001</v>
      </c>
      <c r="AF190" s="422">
        <f t="shared" si="71"/>
        <v>128670.01800000003</v>
      </c>
      <c r="AG190" s="422">
        <f t="shared" si="71"/>
        <v>107941</v>
      </c>
      <c r="AH190" s="422">
        <f>+SUM(AH5:AH188)</f>
        <v>163136.69699999999</v>
      </c>
      <c r="AI190" s="422">
        <f t="shared" si="71"/>
        <v>97053.233000000022</v>
      </c>
      <c r="AJ190" s="422">
        <f t="shared" si="71"/>
        <v>123266.69</v>
      </c>
      <c r="AK190" s="422">
        <f t="shared" si="71"/>
        <v>118409.28</v>
      </c>
    </row>
    <row r="191" spans="1:37">
      <c r="A191" s="43">
        <v>162</v>
      </c>
      <c r="B191" s="31" t="s">
        <v>83</v>
      </c>
      <c r="C191" s="32"/>
      <c r="D191" s="32"/>
      <c r="E191" s="94"/>
      <c r="F191" s="94"/>
      <c r="G191" s="94"/>
      <c r="H191" s="94"/>
      <c r="I191" s="94"/>
      <c r="J191" s="94"/>
      <c r="K191" s="94"/>
      <c r="L191" s="94"/>
      <c r="M191" s="94"/>
      <c r="N191" s="94"/>
      <c r="O191" s="32"/>
      <c r="P191" s="31">
        <f>ROUND(+P22-P190,0)</f>
        <v>-127</v>
      </c>
      <c r="Q191" s="31">
        <f>ROUND(+Q22-Q190,0)</f>
        <v>0</v>
      </c>
      <c r="R191" s="31">
        <f>ROUND(+R22-R190,0)</f>
        <v>-10137</v>
      </c>
      <c r="S191" s="33" t="str">
        <f>IF(Q191=0,"NA",(+P191-Q191)/Q191)</f>
        <v>NA</v>
      </c>
      <c r="U191" s="31">
        <f>+U22-U190</f>
        <v>0</v>
      </c>
      <c r="V191" s="31">
        <f>+V22-V190</f>
        <v>0</v>
      </c>
      <c r="W191" s="33" t="str">
        <f>IF(V191=0,"NA",(+U191-V191)/V191)</f>
        <v>NA</v>
      </c>
      <c r="X191" s="75"/>
      <c r="Y191" s="60"/>
    </row>
    <row r="192" spans="1:37" ht="15" thickBot="1">
      <c r="S192" s="5"/>
      <c r="X192" s="75"/>
      <c r="Y192" s="60"/>
    </row>
    <row r="193" spans="1:25">
      <c r="B193" s="107" t="s">
        <v>168</v>
      </c>
      <c r="C193" s="108"/>
      <c r="D193" s="108"/>
      <c r="E193" s="109"/>
      <c r="F193" s="109"/>
      <c r="G193" s="109"/>
      <c r="H193" s="109"/>
      <c r="I193" s="109"/>
      <c r="J193" s="109"/>
      <c r="K193" s="109"/>
      <c r="L193" s="109"/>
      <c r="M193" s="109"/>
      <c r="N193" s="109"/>
      <c r="O193" s="108"/>
      <c r="P193" s="110">
        <f>+P22-P20</f>
        <v>500500</v>
      </c>
      <c r="Q193" s="110">
        <f>+Q22-Q20</f>
        <v>513300</v>
      </c>
      <c r="R193" s="111">
        <f>+P193-Q193</f>
        <v>-12800</v>
      </c>
      <c r="S193" s="112">
        <f>IF(Q193=0,"NA",(+P193-Q193)/Q193)</f>
        <v>-2.4936684200272743E-2</v>
      </c>
      <c r="T193" s="108"/>
      <c r="U193" s="110">
        <f>+U22-U20</f>
        <v>526091.92000000004</v>
      </c>
      <c r="V193" s="110">
        <f>+V22-V20</f>
        <v>513300</v>
      </c>
      <c r="W193" s="113">
        <f>IF(V193=0,"NA",(+U193-V193)/V193)</f>
        <v>2.4920942918371405E-2</v>
      </c>
      <c r="X193" s="63" t="s">
        <v>199</v>
      </c>
      <c r="Y193" s="60"/>
    </row>
    <row r="194" spans="1:25">
      <c r="B194" s="114" t="s">
        <v>160</v>
      </c>
      <c r="C194" s="102"/>
      <c r="D194" s="102"/>
      <c r="E194" s="103"/>
      <c r="F194" s="103"/>
      <c r="G194" s="103"/>
      <c r="H194" s="103"/>
      <c r="I194" s="103"/>
      <c r="J194" s="103"/>
      <c r="K194" s="103"/>
      <c r="L194" s="103"/>
      <c r="M194" s="103"/>
      <c r="N194" s="103"/>
      <c r="O194" s="102"/>
      <c r="P194" s="104">
        <f>+P190-P188</f>
        <v>500611</v>
      </c>
      <c r="Q194" s="104">
        <f>+Q190-Q188</f>
        <v>500779.38049999997</v>
      </c>
      <c r="R194" s="105">
        <f>+P194-Q194</f>
        <v>-168.3804999999702</v>
      </c>
      <c r="S194" s="106">
        <f>IF(Q194=0,"NA",(+P194-Q194)/Q194)</f>
        <v>-3.3623688705363981E-4</v>
      </c>
      <c r="T194" s="102"/>
      <c r="U194" s="104">
        <f>+U190-U188</f>
        <v>501861.89999999991</v>
      </c>
      <c r="V194" s="104">
        <f>+V190-V188</f>
        <v>500779</v>
      </c>
      <c r="W194" s="115">
        <f>IF(V194=0,"NA",(+U194-V194)/V194)</f>
        <v>2.1624309326068124E-3</v>
      </c>
      <c r="X194" s="75"/>
      <c r="Y194" s="60"/>
    </row>
    <row r="195" spans="1:25" ht="15" thickBot="1">
      <c r="B195" s="116" t="s">
        <v>169</v>
      </c>
      <c r="C195" s="117"/>
      <c r="D195" s="117"/>
      <c r="E195" s="118"/>
      <c r="F195" s="118"/>
      <c r="G195" s="118"/>
      <c r="H195" s="119"/>
      <c r="I195" s="119"/>
      <c r="J195" s="119"/>
      <c r="K195" s="119"/>
      <c r="L195" s="119"/>
      <c r="M195" s="119"/>
      <c r="N195" s="119"/>
      <c r="O195" s="117"/>
      <c r="P195" s="120">
        <f>+P193-P194</f>
        <v>-111</v>
      </c>
      <c r="Q195" s="120">
        <f>+Q193-Q194</f>
        <v>12520.61950000003</v>
      </c>
      <c r="R195" s="121">
        <f>+P195-Q195</f>
        <v>-12631.61950000003</v>
      </c>
      <c r="S195" s="122">
        <f>IF(Q195=0,"NA",(+P195-Q195)/Q195)</f>
        <v>-1.0088653760303155</v>
      </c>
      <c r="T195" s="117"/>
      <c r="U195" s="120">
        <f>+U193-U194</f>
        <v>24230.020000000135</v>
      </c>
      <c r="V195" s="120">
        <f>+V193-V194</f>
        <v>12521</v>
      </c>
      <c r="W195" s="123">
        <f>IF(V195=0,"NA",(+U195-V195)/V195)</f>
        <v>0.93515054708091483</v>
      </c>
      <c r="X195" s="75"/>
      <c r="Y195" s="60"/>
    </row>
    <row r="196" spans="1:25">
      <c r="S196" s="5"/>
      <c r="X196" s="60"/>
      <c r="Y196" s="60"/>
    </row>
    <row r="197" spans="1:25">
      <c r="H197" s="95"/>
      <c r="I197" s="95"/>
      <c r="J197" s="95"/>
      <c r="K197" s="95"/>
      <c r="L197" s="95"/>
      <c r="M197" s="95"/>
      <c r="N197" s="95"/>
      <c r="W197" s="1"/>
      <c r="X197" s="60"/>
      <c r="Y197" s="60"/>
    </row>
    <row r="198" spans="1:25">
      <c r="S198" s="5"/>
      <c r="X198" s="60"/>
      <c r="Y198" s="60"/>
    </row>
    <row r="199" spans="1:25">
      <c r="D199" s="77"/>
      <c r="E199" s="96"/>
      <c r="S199" s="5"/>
      <c r="X199" s="60"/>
      <c r="Y199" s="60"/>
    </row>
    <row r="200" spans="1:25">
      <c r="S200" s="5"/>
      <c r="X200" s="60"/>
      <c r="Y200" s="60"/>
    </row>
    <row r="201" spans="1:25">
      <c r="A201" s="1"/>
      <c r="B201" s="1"/>
      <c r="S201" s="5"/>
      <c r="W201" s="1"/>
      <c r="X201" s="68"/>
      <c r="Y201" s="68"/>
    </row>
    <row r="202" spans="1:25">
      <c r="A202" s="1"/>
      <c r="B202" s="1"/>
      <c r="S202" s="5"/>
      <c r="W202" s="1"/>
      <c r="X202" s="68"/>
      <c r="Y202" s="68"/>
    </row>
    <row r="203" spans="1:25">
      <c r="A203" s="1"/>
      <c r="B203" s="1"/>
      <c r="S203" s="5"/>
      <c r="W203" s="1"/>
      <c r="X203" s="68"/>
      <c r="Y203" s="68"/>
    </row>
    <row r="204" spans="1:25">
      <c r="A204" s="1"/>
      <c r="B204" s="1"/>
      <c r="S204" s="5"/>
      <c r="W204" s="1"/>
      <c r="X204" s="68"/>
      <c r="Y204" s="68"/>
    </row>
    <row r="205" spans="1:25">
      <c r="A205" s="1"/>
      <c r="B205" s="1"/>
      <c r="S205" s="5"/>
      <c r="W205" s="1"/>
      <c r="X205" s="68"/>
      <c r="Y205" s="68"/>
    </row>
    <row r="206" spans="1:25">
      <c r="A206" s="1"/>
      <c r="B206" s="1"/>
      <c r="S206" s="5"/>
      <c r="W206" s="1"/>
      <c r="X206" s="68"/>
      <c r="Y206" s="68"/>
    </row>
    <row r="207" spans="1:25">
      <c r="A207" s="1"/>
      <c r="B207" s="1"/>
      <c r="S207" s="5"/>
      <c r="W207" s="1"/>
      <c r="X207" s="68"/>
      <c r="Y207" s="38"/>
    </row>
    <row r="208" spans="1:25">
      <c r="A208" s="1"/>
      <c r="B208" s="1"/>
      <c r="S208" s="5"/>
      <c r="W208" s="1"/>
      <c r="X208" s="68"/>
      <c r="Y208" s="38"/>
    </row>
    <row r="209" spans="1:25">
      <c r="A209" s="1"/>
      <c r="B209" s="1"/>
      <c r="S209" s="5"/>
      <c r="W209" s="1"/>
      <c r="X209" s="68"/>
      <c r="Y209" s="38"/>
    </row>
    <row r="210" spans="1:25">
      <c r="A210" s="1"/>
      <c r="B210" s="1"/>
      <c r="S210" s="5"/>
      <c r="W210" s="1"/>
      <c r="X210" s="68"/>
      <c r="Y210" s="38"/>
    </row>
    <row r="211" spans="1:25">
      <c r="A211" s="1"/>
      <c r="B211" s="1"/>
      <c r="S211" s="5"/>
      <c r="W211" s="1"/>
      <c r="X211" s="68"/>
      <c r="Y211" s="38"/>
    </row>
    <row r="212" spans="1:25">
      <c r="A212" s="1"/>
      <c r="B212" s="1"/>
      <c r="S212" s="5"/>
      <c r="W212" s="1"/>
      <c r="X212" s="68"/>
      <c r="Y212" s="38"/>
    </row>
    <row r="213" spans="1:25">
      <c r="A213" s="1"/>
      <c r="B213" s="1"/>
      <c r="S213" s="5"/>
      <c r="W213" s="1"/>
      <c r="X213" s="68"/>
      <c r="Y213" s="38"/>
    </row>
    <row r="214" spans="1:25">
      <c r="A214" s="1"/>
      <c r="B214" s="1"/>
      <c r="S214" s="5"/>
      <c r="W214" s="1"/>
      <c r="X214" s="69"/>
      <c r="Y214" s="38"/>
    </row>
    <row r="215" spans="1:25">
      <c r="Y215" s="38"/>
    </row>
    <row r="216" spans="1:25">
      <c r="Y216" s="48"/>
    </row>
    <row r="217" spans="1:25">
      <c r="Y217" s="48"/>
    </row>
    <row r="218" spans="1:25">
      <c r="Y218" s="48"/>
    </row>
    <row r="219" spans="1:25">
      <c r="Y219" s="48"/>
    </row>
    <row r="220" spans="1:25">
      <c r="Y220" s="48"/>
    </row>
    <row r="221" spans="1:25">
      <c r="Y221" s="48"/>
    </row>
    <row r="222" spans="1:25">
      <c r="Y222" s="48"/>
    </row>
    <row r="223" spans="1:25">
      <c r="Y223" s="48"/>
    </row>
    <row r="224" spans="1:25">
      <c r="Y224" s="48"/>
    </row>
    <row r="225" spans="25:25">
      <c r="Y225" s="48"/>
    </row>
    <row r="226" spans="25:25">
      <c r="Y226" s="48"/>
    </row>
    <row r="227" spans="25:25">
      <c r="Y227" s="48"/>
    </row>
    <row r="228" spans="25:25">
      <c r="Y228" s="48"/>
    </row>
    <row r="229" spans="25:25">
      <c r="Y229" s="48"/>
    </row>
    <row r="230" spans="25:25">
      <c r="Y230" s="48"/>
    </row>
    <row r="231" spans="25:25">
      <c r="Y231" s="48"/>
    </row>
    <row r="232" spans="25:25">
      <c r="Y232" s="48"/>
    </row>
    <row r="233" spans="25:25">
      <c r="Y233" s="48"/>
    </row>
    <row r="234" spans="25:25">
      <c r="Y234" s="48"/>
    </row>
    <row r="235" spans="25:25">
      <c r="Y235" s="48"/>
    </row>
    <row r="236" spans="25:25">
      <c r="Y236" s="48"/>
    </row>
    <row r="237" spans="25:25">
      <c r="Y237" s="48"/>
    </row>
    <row r="238" spans="25:25">
      <c r="Y238" s="48"/>
    </row>
    <row r="239" spans="25:25">
      <c r="Y239" s="48"/>
    </row>
    <row r="240" spans="25:25">
      <c r="Y240" s="48"/>
    </row>
    <row r="241" spans="25:25">
      <c r="Y241" s="48"/>
    </row>
    <row r="242" spans="25:25">
      <c r="Y242" s="48"/>
    </row>
    <row r="243" spans="25:25">
      <c r="Y243" s="48"/>
    </row>
  </sheetData>
  <mergeCells count="28">
    <mergeCell ref="AD3:AG3"/>
    <mergeCell ref="AH3:AK3"/>
    <mergeCell ref="B1:X1"/>
    <mergeCell ref="O84:O85"/>
    <mergeCell ref="P2:S2"/>
    <mergeCell ref="U2:W2"/>
    <mergeCell ref="R3:S3"/>
    <mergeCell ref="U3:U4"/>
    <mergeCell ref="V3:V4"/>
    <mergeCell ref="W3:W4"/>
    <mergeCell ref="P3:P4"/>
    <mergeCell ref="Q3:Q4"/>
    <mergeCell ref="E81:H81"/>
    <mergeCell ref="E79:M79"/>
    <mergeCell ref="G85:H85"/>
    <mergeCell ref="G84:H84"/>
    <mergeCell ref="C173:D173"/>
    <mergeCell ref="E138:H138"/>
    <mergeCell ref="I138:L138"/>
    <mergeCell ref="E136:O136"/>
    <mergeCell ref="L89:O89"/>
    <mergeCell ref="C150:D150"/>
    <mergeCell ref="I81:L81"/>
    <mergeCell ref="C89:D89"/>
    <mergeCell ref="C133:D133"/>
    <mergeCell ref="G98:H98"/>
    <mergeCell ref="C102:D102"/>
    <mergeCell ref="L102:O102"/>
  </mergeCells>
  <pageMargins left="0" right="0" top="0.25" bottom="0.5" header="0.3" footer="0.3"/>
  <pageSetup scale="72" fitToHeight="0" orientation="landscape" r:id="rId1"/>
  <headerFooter>
    <oddFooter>&amp;C&amp;P of &amp;N&amp;R&amp;D</oddFooter>
  </headerFooter>
  <drawing r:id="rId2"/>
  <legacyDrawing r:id="rId3"/>
</worksheet>
</file>

<file path=xl/worksheets/sheet4.xml><?xml version="1.0" encoding="utf-8"?>
<worksheet xmlns="http://schemas.openxmlformats.org/spreadsheetml/2006/main" xmlns:r="http://schemas.openxmlformats.org/officeDocument/2006/relationships">
  <dimension ref="A1:F17"/>
  <sheetViews>
    <sheetView showGridLines="0" topLeftCell="A3" workbookViewId="0">
      <selection activeCell="B10" sqref="B10"/>
    </sheetView>
  </sheetViews>
  <sheetFormatPr defaultRowHeight="14.5"/>
  <cols>
    <col min="2" max="2" width="31.36328125" customWidth="1"/>
    <col min="5" max="5" width="10.453125" customWidth="1"/>
  </cols>
  <sheetData>
    <row r="1" spans="1:6" ht="23.5">
      <c r="A1" s="685" t="s">
        <v>87</v>
      </c>
      <c r="B1" s="685"/>
      <c r="C1" s="685"/>
      <c r="D1" s="685"/>
      <c r="E1" s="685"/>
      <c r="F1" s="685"/>
    </row>
    <row r="4" spans="1:6" ht="29.5" customHeight="1">
      <c r="C4" s="676" t="str">
        <f>Bud_Yr&amp;" Budget"</f>
        <v>2020 Budget</v>
      </c>
      <c r="D4" s="677" t="str">
        <f>Bud_Yr-1&amp;" Budget"</f>
        <v>2019 Budget</v>
      </c>
      <c r="E4" s="670" t="str">
        <f>Bud_Yr&amp;" Budget vs             "&amp;Bud_Yr-1&amp;" Budget"</f>
        <v>2020 Budget vs             2019 Budget</v>
      </c>
      <c r="F4" s="671"/>
    </row>
    <row r="5" spans="1:6">
      <c r="C5" s="683"/>
      <c r="D5" s="684"/>
      <c r="E5" s="618" t="s">
        <v>113</v>
      </c>
      <c r="F5" s="619" t="s">
        <v>114</v>
      </c>
    </row>
    <row r="6" spans="1:6">
      <c r="B6" s="620" t="s">
        <v>458</v>
      </c>
      <c r="C6" s="621">
        <f>28630+40040-39880</f>
        <v>28790</v>
      </c>
      <c r="D6" s="621">
        <v>31400</v>
      </c>
      <c r="E6" s="622">
        <f t="shared" ref="E6" si="0">+C6-D6</f>
        <v>-2610</v>
      </c>
      <c r="F6" s="623">
        <f t="shared" ref="F6" si="1">IF(D6=0,"NA",(+C6-D6)/D6)</f>
        <v>-8.312101910828025E-2</v>
      </c>
    </row>
    <row r="7" spans="1:6">
      <c r="B7" s="624" t="s">
        <v>459</v>
      </c>
      <c r="C7" s="279">
        <v>6000</v>
      </c>
      <c r="D7" s="279">
        <v>12000</v>
      </c>
      <c r="E7" s="259">
        <f t="shared" ref="E7" si="2">+C7-D7</f>
        <v>-6000</v>
      </c>
      <c r="F7" s="625">
        <f t="shared" ref="F7" si="3">IF(D7=0,"NA",(+C7-D7)/D7)</f>
        <v>-0.5</v>
      </c>
    </row>
    <row r="8" spans="1:6">
      <c r="B8" s="624" t="s">
        <v>460</v>
      </c>
      <c r="C8" s="279">
        <v>500</v>
      </c>
      <c r="D8" s="279">
        <v>500</v>
      </c>
      <c r="E8" s="259">
        <f t="shared" ref="E8:E15" si="4">+C8-D8</f>
        <v>0</v>
      </c>
      <c r="F8" s="625">
        <f t="shared" ref="F8:F15" si="5">IF(D8=0,"NA",(+C8-D8)/D8)</f>
        <v>0</v>
      </c>
    </row>
    <row r="9" spans="1:6">
      <c r="B9" s="624" t="s">
        <v>470</v>
      </c>
      <c r="C9" s="279">
        <v>1000</v>
      </c>
      <c r="D9" s="279">
        <v>1400</v>
      </c>
      <c r="E9" s="259">
        <f t="shared" si="4"/>
        <v>-400</v>
      </c>
      <c r="F9" s="625">
        <f t="shared" si="5"/>
        <v>-0.2857142857142857</v>
      </c>
    </row>
    <row r="10" spans="1:6">
      <c r="B10" s="624" t="s">
        <v>461</v>
      </c>
      <c r="C10" s="279">
        <v>750</v>
      </c>
      <c r="D10" s="279">
        <v>1200</v>
      </c>
      <c r="E10" s="259">
        <f t="shared" si="4"/>
        <v>-450</v>
      </c>
      <c r="F10" s="625">
        <f t="shared" si="5"/>
        <v>-0.375</v>
      </c>
    </row>
    <row r="11" spans="1:6">
      <c r="B11" s="624" t="s">
        <v>462</v>
      </c>
      <c r="C11" s="279">
        <v>500</v>
      </c>
      <c r="D11" s="279">
        <v>830</v>
      </c>
      <c r="E11" s="259">
        <f t="shared" si="4"/>
        <v>-330</v>
      </c>
      <c r="F11" s="625">
        <f t="shared" si="5"/>
        <v>-0.39759036144578314</v>
      </c>
    </row>
    <row r="12" spans="1:6">
      <c r="B12" s="624" t="s">
        <v>463</v>
      </c>
      <c r="C12" s="279">
        <v>1000</v>
      </c>
      <c r="D12" s="279">
        <v>1250</v>
      </c>
      <c r="E12" s="259">
        <f t="shared" si="4"/>
        <v>-250</v>
      </c>
      <c r="F12" s="625">
        <f t="shared" si="5"/>
        <v>-0.2</v>
      </c>
    </row>
    <row r="13" spans="1:6">
      <c r="B13" s="624" t="s">
        <v>464</v>
      </c>
      <c r="C13" s="279">
        <v>1000</v>
      </c>
      <c r="D13" s="279">
        <v>1250</v>
      </c>
      <c r="E13" s="259">
        <f t="shared" si="4"/>
        <v>-250</v>
      </c>
      <c r="F13" s="625">
        <f t="shared" si="5"/>
        <v>-0.2</v>
      </c>
    </row>
    <row r="14" spans="1:6">
      <c r="B14" s="624" t="s">
        <v>465</v>
      </c>
      <c r="C14" s="279">
        <v>500</v>
      </c>
      <c r="D14" s="279">
        <v>0</v>
      </c>
      <c r="E14" s="259">
        <f t="shared" si="4"/>
        <v>500</v>
      </c>
      <c r="F14" s="625" t="str">
        <f t="shared" si="5"/>
        <v>NA</v>
      </c>
    </row>
    <row r="15" spans="1:6">
      <c r="B15" s="624" t="s">
        <v>466</v>
      </c>
      <c r="C15" s="279">
        <v>0</v>
      </c>
      <c r="D15" s="279">
        <v>500</v>
      </c>
      <c r="E15" s="259">
        <f t="shared" si="4"/>
        <v>-500</v>
      </c>
      <c r="F15" s="625">
        <f t="shared" si="5"/>
        <v>-1</v>
      </c>
    </row>
    <row r="16" spans="1:6">
      <c r="B16" s="624" t="s">
        <v>467</v>
      </c>
      <c r="C16" s="279">
        <v>0</v>
      </c>
      <c r="D16" s="279">
        <v>1000</v>
      </c>
      <c r="E16" s="259">
        <f t="shared" ref="E16" si="6">+C16-D16</f>
        <v>-1000</v>
      </c>
      <c r="F16" s="625">
        <f t="shared" ref="F16" si="7">IF(D16=0,"NA",(+C16-D16)/D16)</f>
        <v>-1</v>
      </c>
    </row>
    <row r="17" spans="2:6">
      <c r="B17" s="626" t="s">
        <v>172</v>
      </c>
      <c r="C17" s="627">
        <f>+SUM(C6:C16)</f>
        <v>40040</v>
      </c>
      <c r="D17" s="627">
        <f t="shared" ref="D17:E17" si="8">+SUM(D6:D16)</f>
        <v>51330</v>
      </c>
      <c r="E17" s="627">
        <f t="shared" si="8"/>
        <v>-11290</v>
      </c>
      <c r="F17" s="628"/>
    </row>
  </sheetData>
  <mergeCells count="4">
    <mergeCell ref="C4:C5"/>
    <mergeCell ref="D4:D5"/>
    <mergeCell ref="E4:F4"/>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K70"/>
  <sheetViews>
    <sheetView showGridLines="0" workbookViewId="0">
      <selection activeCell="I45" sqref="I45"/>
    </sheetView>
  </sheetViews>
  <sheetFormatPr defaultRowHeight="14.5" outlineLevelCol="1"/>
  <cols>
    <col min="1" max="1" width="36.36328125" style="146" customWidth="1"/>
    <col min="2" max="2" width="10.453125" style="146" hidden="1" customWidth="1" outlineLevel="1"/>
    <col min="3" max="3" width="10" style="146" hidden="1" customWidth="1" outlineLevel="1"/>
    <col min="4" max="6" width="8.7265625" style="146" hidden="1" customWidth="1" outlineLevel="1"/>
    <col min="7" max="7" width="13.90625" style="146" customWidth="1" collapsed="1"/>
    <col min="8" max="8" width="13.90625" style="146" hidden="1" customWidth="1"/>
    <col min="9" max="9" width="13.90625" style="146" customWidth="1"/>
    <col min="10" max="10" width="23.6328125" style="146" customWidth="1"/>
    <col min="11" max="16384" width="8.7265625" style="146"/>
  </cols>
  <sheetData>
    <row r="1" spans="1:9">
      <c r="B1" s="687">
        <v>2018</v>
      </c>
      <c r="C1" s="688"/>
      <c r="D1" s="688"/>
      <c r="E1" s="688"/>
      <c r="F1" s="689"/>
      <c r="G1" s="456" t="s">
        <v>203</v>
      </c>
      <c r="H1" s="147" t="s">
        <v>227</v>
      </c>
      <c r="I1" s="242" t="s">
        <v>348</v>
      </c>
    </row>
    <row r="2" spans="1:9">
      <c r="A2" s="183"/>
      <c r="B2" s="184" t="s">
        <v>201</v>
      </c>
      <c r="C2" s="185" t="s">
        <v>171</v>
      </c>
      <c r="D2" s="185" t="s">
        <v>216</v>
      </c>
      <c r="E2" s="185" t="s">
        <v>225</v>
      </c>
      <c r="F2" s="186" t="s">
        <v>209</v>
      </c>
      <c r="G2" s="187"/>
      <c r="H2" s="187"/>
      <c r="I2" s="148"/>
    </row>
    <row r="3" spans="1:9">
      <c r="A3" s="188" t="s">
        <v>42</v>
      </c>
      <c r="B3" s="189">
        <v>52894</v>
      </c>
      <c r="C3" s="130">
        <f>+B6-C5</f>
        <v>46762</v>
      </c>
      <c r="D3" s="130">
        <f>+B6-D5</f>
        <v>46762</v>
      </c>
      <c r="E3" s="130">
        <f>+B3</f>
        <v>52894</v>
      </c>
      <c r="F3" s="140"/>
      <c r="G3" s="190">
        <f>+B6-G5</f>
        <v>46322</v>
      </c>
      <c r="H3" s="190"/>
      <c r="I3" s="149">
        <f>+I6-I5</f>
        <v>49539.740000000005</v>
      </c>
    </row>
    <row r="4" spans="1:9">
      <c r="A4" s="188"/>
      <c r="B4" s="191">
        <v>0.3</v>
      </c>
      <c r="C4" s="132"/>
      <c r="D4" s="132"/>
      <c r="E4" s="131">
        <v>0.3</v>
      </c>
      <c r="F4" s="192"/>
      <c r="G4" s="193"/>
      <c r="H4" s="193"/>
      <c r="I4" s="150"/>
    </row>
    <row r="5" spans="1:9" ht="15" thickBot="1">
      <c r="A5" s="188" t="s">
        <v>170</v>
      </c>
      <c r="B5" s="194">
        <f>ROUND(+B3*B4,0)</f>
        <v>15868</v>
      </c>
      <c r="C5" s="134">
        <v>22000</v>
      </c>
      <c r="D5" s="134">
        <f>+C5</f>
        <v>22000</v>
      </c>
      <c r="E5" s="133">
        <f>ROUND(+E3*E4,0)</f>
        <v>15868</v>
      </c>
      <c r="F5" s="137"/>
      <c r="G5" s="195">
        <v>22440</v>
      </c>
      <c r="H5" s="195"/>
      <c r="I5" s="151">
        <v>22000</v>
      </c>
    </row>
    <row r="6" spans="1:9" ht="14.5" customHeight="1">
      <c r="A6" s="188" t="s">
        <v>172</v>
      </c>
      <c r="B6" s="196">
        <f>+B3+B5</f>
        <v>68762</v>
      </c>
      <c r="C6" s="197">
        <f>+C3+C5</f>
        <v>68762</v>
      </c>
      <c r="D6" s="197">
        <f>+D3+D5</f>
        <v>68762</v>
      </c>
      <c r="E6" s="197">
        <f>+E3+E5</f>
        <v>68762</v>
      </c>
      <c r="F6" s="198"/>
      <c r="G6" s="199">
        <f>+G3+G5</f>
        <v>68762</v>
      </c>
      <c r="H6" s="199"/>
      <c r="I6" s="152">
        <f>ROUND(+G11+(G11*I10),2)</f>
        <v>71539.740000000005</v>
      </c>
    </row>
    <row r="7" spans="1:9">
      <c r="A7" s="200"/>
      <c r="B7" s="200"/>
      <c r="C7" s="201"/>
      <c r="D7" s="201"/>
      <c r="E7" s="201"/>
      <c r="F7" s="202"/>
      <c r="G7" s="193"/>
      <c r="H7" s="193"/>
      <c r="I7" s="150"/>
    </row>
    <row r="8" spans="1:9">
      <c r="A8" s="188" t="s">
        <v>186</v>
      </c>
      <c r="B8" s="200"/>
      <c r="C8" s="135">
        <f>(23/24)</f>
        <v>0.95833333333333337</v>
      </c>
      <c r="D8" s="135">
        <f>(23/24)</f>
        <v>0.95833333333333337</v>
      </c>
      <c r="E8" s="135">
        <v>1</v>
      </c>
      <c r="F8" s="136">
        <v>1</v>
      </c>
      <c r="G8" s="203">
        <v>1</v>
      </c>
      <c r="H8" s="203"/>
      <c r="I8" s="143">
        <v>1</v>
      </c>
    </row>
    <row r="9" spans="1:9">
      <c r="A9" s="200"/>
      <c r="B9" s="200"/>
      <c r="C9" s="201"/>
      <c r="D9" s="201"/>
      <c r="E9" s="201"/>
      <c r="F9" s="202"/>
      <c r="G9" s="193"/>
      <c r="H9" s="193"/>
      <c r="I9" s="150"/>
    </row>
    <row r="10" spans="1:9">
      <c r="A10" s="188" t="s">
        <v>204</v>
      </c>
      <c r="B10" s="200"/>
      <c r="C10" s="204">
        <v>0</v>
      </c>
      <c r="D10" s="204">
        <v>0</v>
      </c>
      <c r="E10" s="204">
        <v>0</v>
      </c>
      <c r="F10" s="205">
        <v>0</v>
      </c>
      <c r="G10" s="468">
        <v>0.02</v>
      </c>
      <c r="H10" s="206"/>
      <c r="I10" s="505">
        <f>+'New Year-Full Year'!F84</f>
        <v>0.02</v>
      </c>
    </row>
    <row r="11" spans="1:9">
      <c r="A11" s="207" t="s">
        <v>202</v>
      </c>
      <c r="B11" s="208"/>
      <c r="C11" s="209">
        <f>+C6*C8</f>
        <v>65896.916666666672</v>
      </c>
      <c r="D11" s="209">
        <f>+D6*D8</f>
        <v>65896.916666666672</v>
      </c>
      <c r="E11" s="209">
        <f>+E6*E8</f>
        <v>68762</v>
      </c>
      <c r="F11" s="210">
        <f>+C6*F8</f>
        <v>68762</v>
      </c>
      <c r="G11" s="457">
        <f>ROUND(+G6*(1+G10),0)</f>
        <v>70137</v>
      </c>
      <c r="H11" s="211"/>
      <c r="I11" s="155">
        <f>ROUND(+I6*I8,0)</f>
        <v>71540</v>
      </c>
    </row>
    <row r="12" spans="1:9">
      <c r="A12" s="200"/>
      <c r="B12" s="200"/>
      <c r="C12" s="201"/>
      <c r="D12" s="201"/>
      <c r="E12" s="201"/>
      <c r="F12" s="202"/>
      <c r="G12" s="193"/>
      <c r="H12" s="193"/>
      <c r="I12" s="150"/>
    </row>
    <row r="13" spans="1:9">
      <c r="A13" s="686" t="s">
        <v>421</v>
      </c>
      <c r="B13" s="200"/>
      <c r="C13" s="201"/>
      <c r="D13" s="201"/>
      <c r="E13" s="201"/>
      <c r="F13" s="202"/>
      <c r="G13" s="193"/>
      <c r="H13" s="193"/>
      <c r="I13" s="150"/>
    </row>
    <row r="14" spans="1:9">
      <c r="A14" s="686"/>
      <c r="B14" s="200"/>
      <c r="C14" s="130">
        <f>+C33</f>
        <v>0</v>
      </c>
      <c r="D14" s="130">
        <f>+D33</f>
        <v>0</v>
      </c>
      <c r="E14" s="130">
        <f>+E33</f>
        <v>8015</v>
      </c>
      <c r="F14" s="140">
        <f>+F33</f>
        <v>0</v>
      </c>
      <c r="G14" s="212">
        <f>+G35</f>
        <v>2600</v>
      </c>
      <c r="H14" s="212"/>
      <c r="I14" s="145">
        <f>+I35</f>
        <v>3467</v>
      </c>
    </row>
    <row r="15" spans="1:9">
      <c r="A15" s="686"/>
      <c r="B15" s="200"/>
      <c r="C15" s="201"/>
      <c r="D15" s="201"/>
      <c r="E15" s="201"/>
      <c r="F15" s="202"/>
      <c r="G15" s="193"/>
      <c r="H15" s="193"/>
      <c r="I15" s="150"/>
    </row>
    <row r="16" spans="1:9">
      <c r="A16" s="213"/>
      <c r="B16" s="200"/>
      <c r="C16" s="201"/>
      <c r="D16" s="201"/>
      <c r="E16" s="201"/>
      <c r="F16" s="202"/>
      <c r="G16" s="193"/>
      <c r="H16" s="193"/>
      <c r="I16" s="150"/>
    </row>
    <row r="17" spans="1:10">
      <c r="A17" s="207" t="s">
        <v>202</v>
      </c>
      <c r="B17" s="208"/>
      <c r="C17" s="209">
        <f>+C11+C14</f>
        <v>65896.916666666672</v>
      </c>
      <c r="D17" s="209">
        <f>+D11+D14</f>
        <v>65896.916666666672</v>
      </c>
      <c r="E17" s="209">
        <f>+E11+E14</f>
        <v>76777</v>
      </c>
      <c r="F17" s="210">
        <f>+F11+F14</f>
        <v>68762</v>
      </c>
      <c r="G17" s="457">
        <f>+G11+G14</f>
        <v>72737</v>
      </c>
      <c r="H17" s="211">
        <f>50297+22440</f>
        <v>72737</v>
      </c>
      <c r="I17" s="155">
        <f>+I11+I14</f>
        <v>75007</v>
      </c>
    </row>
    <row r="18" spans="1:10">
      <c r="A18" s="200"/>
      <c r="B18" s="200"/>
      <c r="C18" s="201"/>
      <c r="D18" s="201"/>
      <c r="E18" s="201"/>
      <c r="F18" s="202"/>
      <c r="G18" s="193"/>
      <c r="H18" s="193"/>
      <c r="I18" s="150"/>
    </row>
    <row r="19" spans="1:10">
      <c r="A19" s="200" t="s">
        <v>381</v>
      </c>
      <c r="B19" s="200"/>
      <c r="C19" s="138">
        <v>7.6499999999999999E-2</v>
      </c>
      <c r="D19" s="138">
        <v>7.6499999999999999E-2</v>
      </c>
      <c r="E19" s="138">
        <v>7.6499999999999999E-2</v>
      </c>
      <c r="F19" s="139">
        <v>7.6499999999999999E-2</v>
      </c>
      <c r="G19" s="214">
        <v>7.6499999999999999E-2</v>
      </c>
      <c r="H19" s="214">
        <v>7.6499999999999999E-2</v>
      </c>
      <c r="I19" s="144">
        <v>7.6499999999999999E-2</v>
      </c>
    </row>
    <row r="20" spans="1:10">
      <c r="A20" s="200" t="s">
        <v>382</v>
      </c>
      <c r="B20" s="200"/>
      <c r="C20" s="201"/>
      <c r="D20" s="201"/>
      <c r="E20" s="201"/>
      <c r="F20" s="202"/>
      <c r="G20" s="193"/>
      <c r="H20" s="193"/>
      <c r="I20" s="150"/>
    </row>
    <row r="21" spans="1:10">
      <c r="A21" s="200"/>
      <c r="B21" s="200"/>
      <c r="C21" s="201"/>
      <c r="D21" s="201"/>
      <c r="E21" s="201"/>
      <c r="F21" s="202"/>
      <c r="G21" s="193"/>
      <c r="H21" s="193"/>
      <c r="I21" s="150"/>
    </row>
    <row r="22" spans="1:10">
      <c r="A22" s="200" t="s">
        <v>384</v>
      </c>
      <c r="B22" s="200"/>
      <c r="C22" s="130">
        <f t="shared" ref="C22:H22" si="0">+C17*C19</f>
        <v>5041.1141250000001</v>
      </c>
      <c r="D22" s="130">
        <f t="shared" si="0"/>
        <v>5041.1141250000001</v>
      </c>
      <c r="E22" s="130">
        <f t="shared" si="0"/>
        <v>5873.4404999999997</v>
      </c>
      <c r="F22" s="140">
        <f t="shared" si="0"/>
        <v>5260.2929999999997</v>
      </c>
      <c r="G22" s="212">
        <f t="shared" si="0"/>
        <v>5564.3805000000002</v>
      </c>
      <c r="H22" s="212">
        <f t="shared" si="0"/>
        <v>5564.3805000000002</v>
      </c>
      <c r="I22" s="145">
        <f>ROUND(+I17*I19,0)</f>
        <v>5738</v>
      </c>
      <c r="J22" s="153"/>
    </row>
    <row r="23" spans="1:10">
      <c r="A23" s="200"/>
      <c r="B23" s="200"/>
      <c r="C23" s="201"/>
      <c r="D23" s="201"/>
      <c r="E23" s="201"/>
      <c r="F23" s="202"/>
      <c r="G23" s="193"/>
      <c r="H23" s="193"/>
      <c r="I23" s="150"/>
    </row>
    <row r="24" spans="1:10">
      <c r="A24" s="215" t="s">
        <v>206</v>
      </c>
      <c r="B24" s="216"/>
      <c r="C24" s="217">
        <f t="shared" ref="C24:H24" si="1">+C17+C22</f>
        <v>70938.030791666679</v>
      </c>
      <c r="D24" s="217">
        <f t="shared" si="1"/>
        <v>70938.030791666679</v>
      </c>
      <c r="E24" s="217">
        <f t="shared" si="1"/>
        <v>82650.440499999997</v>
      </c>
      <c r="F24" s="218">
        <f t="shared" si="1"/>
        <v>74022.293000000005</v>
      </c>
      <c r="G24" s="219">
        <f t="shared" si="1"/>
        <v>78301.380499999999</v>
      </c>
      <c r="H24" s="219">
        <f t="shared" si="1"/>
        <v>78301.380499999999</v>
      </c>
      <c r="I24" s="158">
        <f t="shared" ref="I24" si="2">+I17+I22</f>
        <v>80745</v>
      </c>
    </row>
    <row r="25" spans="1:10">
      <c r="A25" s="220"/>
      <c r="B25" s="220"/>
      <c r="C25" s="220"/>
      <c r="D25" s="220"/>
      <c r="E25" s="220"/>
      <c r="F25" s="220"/>
      <c r="G25" s="220"/>
      <c r="H25" s="220"/>
      <c r="I25" s="220"/>
    </row>
    <row r="26" spans="1:10">
      <c r="A26" s="221" t="s">
        <v>213</v>
      </c>
      <c r="B26" s="183"/>
      <c r="C26" s="222"/>
      <c r="D26" s="222"/>
      <c r="E26" s="222"/>
      <c r="F26" s="223"/>
      <c r="G26" s="187"/>
      <c r="H26" s="223"/>
      <c r="I26" s="243"/>
    </row>
    <row r="27" spans="1:10">
      <c r="A27" s="200" t="s">
        <v>207</v>
      </c>
      <c r="B27" s="200"/>
      <c r="C27" s="130">
        <f>6011.15*C8</f>
        <v>5760.6854166666662</v>
      </c>
      <c r="D27" s="130"/>
      <c r="E27" s="130">
        <f>6011.15*E8</f>
        <v>6011.15</v>
      </c>
      <c r="F27" s="140">
        <f>6011.15</f>
        <v>6011.15</v>
      </c>
      <c r="G27" s="463">
        <v>4973</v>
      </c>
      <c r="H27" s="137"/>
      <c r="I27" s="141">
        <v>5121</v>
      </c>
      <c r="J27" s="153"/>
    </row>
    <row r="28" spans="1:10">
      <c r="A28" s="200" t="s">
        <v>236</v>
      </c>
      <c r="B28" s="200"/>
      <c r="C28" s="129">
        <v>0</v>
      </c>
      <c r="D28" s="129">
        <v>0</v>
      </c>
      <c r="E28" s="129">
        <v>0</v>
      </c>
      <c r="F28" s="137">
        <v>0</v>
      </c>
      <c r="G28" s="463">
        <v>2600</v>
      </c>
      <c r="H28" s="137"/>
      <c r="I28" s="141">
        <v>2600</v>
      </c>
      <c r="J28" s="153"/>
    </row>
    <row r="29" spans="1:10" ht="14.5" customHeight="1">
      <c r="A29" s="200" t="s">
        <v>237</v>
      </c>
      <c r="B29" s="200"/>
      <c r="C29" s="130">
        <f>+C27+C28</f>
        <v>5760.6854166666662</v>
      </c>
      <c r="D29" s="130">
        <f>+D27+D28</f>
        <v>0</v>
      </c>
      <c r="E29" s="130">
        <f>+E27+E28</f>
        <v>6011.15</v>
      </c>
      <c r="F29" s="140">
        <f>+F27+F28</f>
        <v>6011.15</v>
      </c>
      <c r="G29" s="212">
        <f>+G27+G28</f>
        <v>7573</v>
      </c>
      <c r="H29" s="137"/>
      <c r="I29" s="142">
        <f>+I27+I28</f>
        <v>7721</v>
      </c>
      <c r="J29" s="690" t="s">
        <v>417</v>
      </c>
    </row>
    <row r="30" spans="1:10">
      <c r="A30" s="200" t="s">
        <v>208</v>
      </c>
      <c r="B30" s="200"/>
      <c r="C30" s="138">
        <v>0.25</v>
      </c>
      <c r="D30" s="138"/>
      <c r="E30" s="138">
        <v>0.25</v>
      </c>
      <c r="F30" s="139">
        <v>0.25</v>
      </c>
      <c r="G30" s="507">
        <v>0.25</v>
      </c>
      <c r="H30" s="139"/>
      <c r="I30" s="506"/>
      <c r="J30" s="690"/>
    </row>
    <row r="31" spans="1:10">
      <c r="A31" s="208" t="s">
        <v>210</v>
      </c>
      <c r="B31" s="208"/>
      <c r="C31" s="224">
        <f>+C29/(1-C30)</f>
        <v>7680.9138888888883</v>
      </c>
      <c r="D31" s="225">
        <v>8015</v>
      </c>
      <c r="E31" s="224">
        <f>ROUND(+E29/(1-E30),0)</f>
        <v>8015</v>
      </c>
      <c r="F31" s="226">
        <f>+F29/(1-F30)</f>
        <v>8014.8666666666659</v>
      </c>
      <c r="G31" s="464">
        <f>ROUND(+G29/(1-G30),0)</f>
        <v>10097</v>
      </c>
      <c r="H31" s="226"/>
      <c r="I31" s="244">
        <f>+I29</f>
        <v>7721</v>
      </c>
      <c r="J31" s="690"/>
    </row>
    <row r="32" spans="1:10">
      <c r="A32" s="200"/>
      <c r="B32" s="200"/>
      <c r="C32" s="130"/>
      <c r="D32" s="130"/>
      <c r="E32" s="130"/>
      <c r="F32" s="202"/>
      <c r="G32" s="193"/>
      <c r="H32" s="202"/>
      <c r="I32" s="154"/>
      <c r="J32" s="690"/>
    </row>
    <row r="33" spans="1:11">
      <c r="A33" s="200" t="s">
        <v>418</v>
      </c>
      <c r="B33" s="200"/>
      <c r="C33" s="129">
        <v>0</v>
      </c>
      <c r="D33" s="129">
        <v>0</v>
      </c>
      <c r="E33" s="129">
        <v>8015</v>
      </c>
      <c r="F33" s="137">
        <v>0</v>
      </c>
      <c r="G33" s="463"/>
      <c r="H33" s="137"/>
      <c r="I33" s="141">
        <v>2600</v>
      </c>
      <c r="J33" s="690"/>
    </row>
    <row r="34" spans="1:11">
      <c r="A34" s="200" t="s">
        <v>208</v>
      </c>
      <c r="B34" s="200"/>
      <c r="C34" s="138">
        <v>0.25</v>
      </c>
      <c r="D34" s="138"/>
      <c r="E34" s="138">
        <v>0.25</v>
      </c>
      <c r="F34" s="139">
        <v>0.25</v>
      </c>
      <c r="G34" s="214"/>
      <c r="H34" s="139"/>
      <c r="I34" s="506">
        <v>0.25</v>
      </c>
      <c r="J34" s="690"/>
    </row>
    <row r="35" spans="1:11">
      <c r="A35" s="208" t="s">
        <v>211</v>
      </c>
      <c r="B35" s="208"/>
      <c r="C35" s="509"/>
      <c r="D35" s="509"/>
      <c r="E35" s="509"/>
      <c r="F35" s="510"/>
      <c r="G35" s="511">
        <v>2600</v>
      </c>
      <c r="H35" s="510"/>
      <c r="I35" s="244">
        <f>ROUND(+I33/(1-I34),0)</f>
        <v>3467</v>
      </c>
      <c r="J35" s="508"/>
    </row>
    <row r="36" spans="1:11">
      <c r="A36" s="215" t="s">
        <v>212</v>
      </c>
      <c r="B36" s="215"/>
      <c r="C36" s="217">
        <f>+C31-C33</f>
        <v>7680.9138888888883</v>
      </c>
      <c r="D36" s="217">
        <f>+D31-D33</f>
        <v>8015</v>
      </c>
      <c r="E36" s="217">
        <f>+E31-E33</f>
        <v>0</v>
      </c>
      <c r="F36" s="218">
        <f>+F31-F33</f>
        <v>8014.8666666666659</v>
      </c>
      <c r="G36" s="219">
        <f>+G31-G35</f>
        <v>7497</v>
      </c>
      <c r="H36" s="218"/>
      <c r="I36" s="157">
        <f>+I29-I33</f>
        <v>5121</v>
      </c>
    </row>
    <row r="37" spans="1:11">
      <c r="A37" s="220"/>
      <c r="B37" s="220"/>
      <c r="C37" s="220"/>
      <c r="D37" s="220"/>
      <c r="E37" s="220"/>
      <c r="F37" s="220"/>
      <c r="G37" s="220"/>
      <c r="H37" s="220"/>
      <c r="I37" s="220"/>
    </row>
    <row r="38" spans="1:11">
      <c r="A38" s="221" t="s">
        <v>411</v>
      </c>
      <c r="B38" s="183"/>
      <c r="C38" s="228">
        <v>0.11</v>
      </c>
      <c r="D38" s="228">
        <v>0.11</v>
      </c>
      <c r="E38" s="228">
        <v>0.11</v>
      </c>
      <c r="F38" s="228">
        <v>0.11</v>
      </c>
      <c r="G38" s="466">
        <v>0.11</v>
      </c>
      <c r="H38" s="229"/>
      <c r="I38" s="180">
        <v>0.11</v>
      </c>
    </row>
    <row r="39" spans="1:11">
      <c r="A39" s="200" t="s">
        <v>217</v>
      </c>
      <c r="B39" s="200"/>
      <c r="C39" s="165">
        <f>+C24</f>
        <v>70938.030791666679</v>
      </c>
      <c r="D39" s="165">
        <f>+D24</f>
        <v>70938.030791666679</v>
      </c>
      <c r="E39" s="165">
        <f>+E24</f>
        <v>82650.440499999997</v>
      </c>
      <c r="F39" s="165">
        <f>+F24</f>
        <v>74022.293000000005</v>
      </c>
      <c r="G39" s="190">
        <f>+G24</f>
        <v>78301.380499999999</v>
      </c>
      <c r="H39" s="230"/>
      <c r="I39" s="181">
        <f>+I24</f>
        <v>80745</v>
      </c>
    </row>
    <row r="40" spans="1:11">
      <c r="A40" s="200" t="s">
        <v>175</v>
      </c>
      <c r="B40" s="200"/>
      <c r="C40" s="165">
        <f>+C39*C38</f>
        <v>7803.1833870833343</v>
      </c>
      <c r="D40" s="231">
        <f>((+D39+D41)+(D19*D31))*D38</f>
        <v>8752.2796120833355</v>
      </c>
      <c r="E40" s="165">
        <f>+E39*E38</f>
        <v>9091.5484550000001</v>
      </c>
      <c r="F40" s="165">
        <f>+F39*F38</f>
        <v>8142.4522300000008</v>
      </c>
      <c r="G40" s="190">
        <f>ROUND(+G39*G38,0)</f>
        <v>8613</v>
      </c>
      <c r="H40" s="232">
        <v>8613</v>
      </c>
      <c r="I40" s="181">
        <f>ROUND(+I39*I38,0)</f>
        <v>8882</v>
      </c>
    </row>
    <row r="41" spans="1:11">
      <c r="A41" s="200" t="s">
        <v>214</v>
      </c>
      <c r="B41" s="200"/>
      <c r="C41" s="165">
        <f>+C36</f>
        <v>7680.9138888888883</v>
      </c>
      <c r="D41" s="165">
        <f>+D36</f>
        <v>8015</v>
      </c>
      <c r="E41" s="165">
        <f>+E36</f>
        <v>0</v>
      </c>
      <c r="F41" s="165">
        <f>+F36</f>
        <v>8014.8666666666659</v>
      </c>
      <c r="G41" s="190">
        <f>+G36</f>
        <v>7497</v>
      </c>
      <c r="H41" s="232">
        <v>5090</v>
      </c>
      <c r="I41" s="181">
        <f>+I36</f>
        <v>5121</v>
      </c>
    </row>
    <row r="42" spans="1:11">
      <c r="A42" s="519" t="s">
        <v>420</v>
      </c>
      <c r="B42" s="519"/>
      <c r="C42" s="520">
        <f t="shared" ref="C42:H42" si="3">+C40+C41</f>
        <v>15484.097275972223</v>
      </c>
      <c r="D42" s="520">
        <f t="shared" si="3"/>
        <v>16767.279612083337</v>
      </c>
      <c r="E42" s="520">
        <f t="shared" si="3"/>
        <v>9091.5484550000001</v>
      </c>
      <c r="F42" s="520">
        <f t="shared" si="3"/>
        <v>16157.318896666668</v>
      </c>
      <c r="G42" s="521">
        <f t="shared" si="3"/>
        <v>16110</v>
      </c>
      <c r="H42" s="522">
        <f t="shared" si="3"/>
        <v>13703</v>
      </c>
      <c r="I42" s="523">
        <f t="shared" ref="I42" si="4">+I40+I41</f>
        <v>14003</v>
      </c>
      <c r="K42" s="501"/>
    </row>
    <row r="43" spans="1:11">
      <c r="A43" s="200" t="s">
        <v>220</v>
      </c>
      <c r="B43" s="200"/>
      <c r="C43" s="512">
        <f>+C42/C39</f>
        <v>0.21827639001491975</v>
      </c>
      <c r="D43" s="512">
        <f>+D42/D39</f>
        <v>0.23636516865440033</v>
      </c>
      <c r="E43" s="512">
        <f>+E42/E39</f>
        <v>0.11</v>
      </c>
      <c r="F43" s="512">
        <f>+F42/F39</f>
        <v>0.21827639001491977</v>
      </c>
      <c r="G43" s="514">
        <f>+G42/G39</f>
        <v>0.20574349899233257</v>
      </c>
      <c r="H43" s="513"/>
      <c r="I43" s="515">
        <f>+I42/I39</f>
        <v>0.17342250294135861</v>
      </c>
    </row>
    <row r="44" spans="1:11">
      <c r="A44" s="200" t="s">
        <v>419</v>
      </c>
      <c r="B44" s="200"/>
      <c r="C44" s="512">
        <f>+C43/C40</f>
        <v>2.7972736149740405E-5</v>
      </c>
      <c r="D44" s="512">
        <f>+D43/D40</f>
        <v>2.7006126304291768E-5</v>
      </c>
      <c r="E44" s="512">
        <f>+E43/E40</f>
        <v>1.2099149066241214E-5</v>
      </c>
      <c r="F44" s="512">
        <f>+F43/F40</f>
        <v>2.6807205476834558E-5</v>
      </c>
      <c r="G44" s="514"/>
      <c r="H44" s="513"/>
      <c r="I44" s="516">
        <v>0.17499999999999999</v>
      </c>
    </row>
    <row r="45" spans="1:11">
      <c r="A45" s="215" t="s">
        <v>215</v>
      </c>
      <c r="B45" s="517"/>
      <c r="C45" s="518"/>
      <c r="D45" s="518"/>
      <c r="E45" s="518"/>
      <c r="F45" s="518"/>
      <c r="G45" s="219">
        <f>+G42</f>
        <v>16110</v>
      </c>
      <c r="H45" s="518"/>
      <c r="I45" s="157">
        <f>ROUND(+I24*I44,0)</f>
        <v>14130</v>
      </c>
    </row>
    <row r="46" spans="1:11">
      <c r="A46" s="220"/>
      <c r="B46" s="220"/>
      <c r="C46" s="220"/>
      <c r="D46" s="220"/>
      <c r="E46" s="220"/>
      <c r="F46" s="220"/>
      <c r="G46" s="220"/>
      <c r="H46" s="220"/>
      <c r="I46" s="220"/>
    </row>
    <row r="47" spans="1:11">
      <c r="A47" s="221" t="s">
        <v>219</v>
      </c>
      <c r="B47" s="183"/>
      <c r="C47" s="222"/>
      <c r="D47" s="222"/>
      <c r="E47" s="222"/>
      <c r="F47" s="223"/>
      <c r="G47" s="187"/>
      <c r="H47" s="223"/>
      <c r="I47" s="243"/>
    </row>
    <row r="48" spans="1:11">
      <c r="A48" s="200" t="s">
        <v>178</v>
      </c>
      <c r="B48" s="200"/>
      <c r="C48" s="236">
        <v>0.03</v>
      </c>
      <c r="D48" s="236">
        <v>0.03</v>
      </c>
      <c r="E48" s="236">
        <v>0.03</v>
      </c>
      <c r="F48" s="237">
        <v>0.03</v>
      </c>
      <c r="G48" s="468">
        <v>2.5000000000000001E-2</v>
      </c>
      <c r="H48" s="237">
        <v>2.5000000000000001E-2</v>
      </c>
      <c r="I48" s="245">
        <v>1.4999999999999999E-2</v>
      </c>
    </row>
    <row r="49" spans="1:9">
      <c r="A49" s="200" t="s">
        <v>179</v>
      </c>
      <c r="B49" s="200"/>
      <c r="C49" s="236">
        <v>3.0000000000000001E-3</v>
      </c>
      <c r="D49" s="236">
        <v>3.0000000000000001E-3</v>
      </c>
      <c r="E49" s="236">
        <v>3.0000000000000001E-3</v>
      </c>
      <c r="F49" s="237">
        <v>3.0000000000000001E-3</v>
      </c>
      <c r="G49" s="468">
        <v>2E-3</v>
      </c>
      <c r="H49" s="237">
        <v>2E-3</v>
      </c>
      <c r="I49" s="245">
        <v>7.0000000000000001E-3</v>
      </c>
    </row>
    <row r="50" spans="1:9">
      <c r="A50" s="200" t="s">
        <v>180</v>
      </c>
      <c r="B50" s="200"/>
      <c r="C50" s="236">
        <v>7.0000000000000001E-3</v>
      </c>
      <c r="D50" s="236">
        <v>7.0000000000000001E-3</v>
      </c>
      <c r="E50" s="236">
        <v>7.0000000000000001E-3</v>
      </c>
      <c r="F50" s="237">
        <v>7.0000000000000001E-3</v>
      </c>
      <c r="G50" s="468">
        <v>7.0000000000000001E-3</v>
      </c>
      <c r="H50" s="237">
        <v>7.0000000000000001E-3</v>
      </c>
      <c r="I50" s="245">
        <v>7.0000000000000001E-3</v>
      </c>
    </row>
    <row r="51" spans="1:9">
      <c r="A51" s="200" t="s">
        <v>222</v>
      </c>
      <c r="B51" s="200"/>
      <c r="C51" s="238">
        <f t="shared" ref="C51:H51" si="5">+C48+C49+C50</f>
        <v>0.04</v>
      </c>
      <c r="D51" s="238">
        <f t="shared" si="5"/>
        <v>0.04</v>
      </c>
      <c r="E51" s="238">
        <f t="shared" si="5"/>
        <v>0.04</v>
      </c>
      <c r="F51" s="239">
        <f t="shared" si="5"/>
        <v>0.04</v>
      </c>
      <c r="G51" s="469">
        <f t="shared" si="5"/>
        <v>3.4000000000000002E-2</v>
      </c>
      <c r="H51" s="239">
        <f t="shared" si="5"/>
        <v>3.4000000000000002E-2</v>
      </c>
      <c r="I51" s="246">
        <f t="shared" ref="I51" si="6">+I48+I49+I50</f>
        <v>2.8999999999999998E-2</v>
      </c>
    </row>
    <row r="52" spans="1:9">
      <c r="A52" s="200" t="s">
        <v>217</v>
      </c>
      <c r="B52" s="200"/>
      <c r="C52" s="165">
        <f t="shared" ref="C52:H52" si="7">+C24</f>
        <v>70938.030791666679</v>
      </c>
      <c r="D52" s="165">
        <f t="shared" si="7"/>
        <v>70938.030791666679</v>
      </c>
      <c r="E52" s="165">
        <f t="shared" si="7"/>
        <v>82650.440499999997</v>
      </c>
      <c r="F52" s="230">
        <f t="shared" si="7"/>
        <v>74022.293000000005</v>
      </c>
      <c r="G52" s="190">
        <f t="shared" si="7"/>
        <v>78301.380499999999</v>
      </c>
      <c r="H52" s="230">
        <f t="shared" si="7"/>
        <v>78301.380499999999</v>
      </c>
      <c r="I52" s="181">
        <f t="shared" ref="I52" si="8">+I24</f>
        <v>80745</v>
      </c>
    </row>
    <row r="53" spans="1:9" ht="43.5" hidden="1">
      <c r="A53" s="240" t="s">
        <v>226</v>
      </c>
      <c r="B53" s="200"/>
      <c r="C53" s="165">
        <f>+C31</f>
        <v>7680.9138888888883</v>
      </c>
      <c r="D53" s="165">
        <f>+D31</f>
        <v>8015</v>
      </c>
      <c r="E53" s="241">
        <v>0</v>
      </c>
      <c r="F53" s="230">
        <f>+F31</f>
        <v>8014.8666666666659</v>
      </c>
      <c r="G53" s="459">
        <v>0</v>
      </c>
      <c r="H53" s="232">
        <v>0</v>
      </c>
      <c r="I53" s="182">
        <v>0</v>
      </c>
    </row>
    <row r="54" spans="1:9" ht="29" hidden="1">
      <c r="A54" s="240" t="s">
        <v>224</v>
      </c>
      <c r="B54" s="200"/>
      <c r="C54" s="165">
        <f>+C36*C19</f>
        <v>587.58991249999997</v>
      </c>
      <c r="D54" s="165">
        <f>+D36*D19</f>
        <v>613.14750000000004</v>
      </c>
      <c r="E54" s="165">
        <f>+E36*E19</f>
        <v>0</v>
      </c>
      <c r="F54" s="230">
        <f>+F36*F19</f>
        <v>613.13729999999998</v>
      </c>
      <c r="G54" s="190"/>
      <c r="H54" s="230"/>
      <c r="I54" s="181"/>
    </row>
    <row r="55" spans="1:9" hidden="1">
      <c r="A55" s="162" t="s">
        <v>223</v>
      </c>
      <c r="B55" s="162"/>
      <c r="C55" s="163">
        <f t="shared" ref="C55:H55" si="9">SUM(C52:C54)</f>
        <v>79206.534593055563</v>
      </c>
      <c r="D55" s="163">
        <f t="shared" si="9"/>
        <v>79566.178291666685</v>
      </c>
      <c r="E55" s="163">
        <f t="shared" si="9"/>
        <v>82650.440499999997</v>
      </c>
      <c r="F55" s="164">
        <f t="shared" si="9"/>
        <v>82650.296966666676</v>
      </c>
      <c r="G55" s="190">
        <f t="shared" si="9"/>
        <v>78301.380499999999</v>
      </c>
      <c r="H55" s="164">
        <f t="shared" si="9"/>
        <v>78301.380499999999</v>
      </c>
      <c r="I55" s="181">
        <f t="shared" ref="I55" si="10">SUM(I52:I54)</f>
        <v>80745</v>
      </c>
    </row>
    <row r="56" spans="1:9">
      <c r="A56" s="168" t="s">
        <v>221</v>
      </c>
      <c r="B56" s="168"/>
      <c r="C56" s="169">
        <f>+C55*C51</f>
        <v>3168.2613837222225</v>
      </c>
      <c r="D56" s="169">
        <f>+D55*D51+1</f>
        <v>3183.6471316666675</v>
      </c>
      <c r="E56" s="169">
        <f>+E55*E51+1</f>
        <v>3307.0176200000001</v>
      </c>
      <c r="F56" s="170">
        <f>+F55*F51+1</f>
        <v>3307.0118786666671</v>
      </c>
      <c r="G56" s="219">
        <f>ROUND(+G55*G51,0)</f>
        <v>2662</v>
      </c>
      <c r="H56" s="170">
        <f>+H55*H51</f>
        <v>2662.2469370000003</v>
      </c>
      <c r="I56" s="157">
        <f>ROUND(+I55*I51,0)</f>
        <v>2342</v>
      </c>
    </row>
    <row r="57" spans="1:9">
      <c r="D57" s="153"/>
      <c r="E57" s="153"/>
      <c r="G57" s="220"/>
    </row>
    <row r="58" spans="1:9">
      <c r="A58" s="159" t="s">
        <v>107</v>
      </c>
      <c r="B58" s="160"/>
      <c r="C58" s="171"/>
      <c r="D58" s="171"/>
      <c r="E58" s="171"/>
      <c r="F58" s="172"/>
      <c r="G58" s="458"/>
      <c r="H58" s="172"/>
      <c r="I58" s="247"/>
    </row>
    <row r="59" spans="1:9">
      <c r="A59" s="162" t="s">
        <v>228</v>
      </c>
      <c r="B59" s="162"/>
      <c r="C59" s="166">
        <v>1500</v>
      </c>
      <c r="D59" s="166">
        <v>1500</v>
      </c>
      <c r="E59" s="166">
        <v>1500</v>
      </c>
      <c r="F59" s="167">
        <v>1500</v>
      </c>
      <c r="G59" s="459">
        <v>1500</v>
      </c>
      <c r="H59" s="167">
        <v>1500</v>
      </c>
      <c r="I59" s="248">
        <v>1500</v>
      </c>
    </row>
    <row r="60" spans="1:9">
      <c r="A60" s="162" t="s">
        <v>229</v>
      </c>
      <c r="B60" s="162"/>
      <c r="C60" s="166">
        <v>1000</v>
      </c>
      <c r="D60" s="166">
        <v>1000</v>
      </c>
      <c r="E60" s="166">
        <v>1000</v>
      </c>
      <c r="F60" s="167">
        <v>1000</v>
      </c>
      <c r="G60" s="459">
        <v>1000</v>
      </c>
      <c r="H60" s="167">
        <v>700</v>
      </c>
      <c r="I60" s="248">
        <v>1000</v>
      </c>
    </row>
    <row r="61" spans="1:9">
      <c r="A61" s="162" t="s">
        <v>107</v>
      </c>
      <c r="B61" s="162"/>
      <c r="C61" s="166">
        <v>600</v>
      </c>
      <c r="D61" s="166">
        <v>600</v>
      </c>
      <c r="E61" s="166">
        <v>600</v>
      </c>
      <c r="F61" s="167">
        <v>600</v>
      </c>
      <c r="G61" s="459">
        <v>600</v>
      </c>
      <c r="H61" s="167">
        <v>600</v>
      </c>
      <c r="I61" s="248">
        <v>600</v>
      </c>
    </row>
    <row r="62" spans="1:9">
      <c r="A62" s="200" t="s">
        <v>245</v>
      </c>
      <c r="B62" s="200"/>
      <c r="C62" s="201"/>
      <c r="D62" s="201"/>
      <c r="E62" s="201"/>
      <c r="F62" s="202"/>
      <c r="G62" s="459">
        <f>40*12</f>
        <v>480</v>
      </c>
      <c r="H62" s="182">
        <f>25*12</f>
        <v>300</v>
      </c>
      <c r="I62" s="248">
        <f>ROUND(40*12,0)</f>
        <v>480</v>
      </c>
    </row>
    <row r="63" spans="1:9">
      <c r="A63" s="173" t="s">
        <v>231</v>
      </c>
      <c r="B63" s="173"/>
      <c r="C63" s="174">
        <f t="shared" ref="C63:H63" si="11">+SUM(C59:C62)</f>
        <v>3100</v>
      </c>
      <c r="D63" s="174">
        <f t="shared" si="11"/>
        <v>3100</v>
      </c>
      <c r="E63" s="174">
        <f t="shared" si="11"/>
        <v>3100</v>
      </c>
      <c r="F63" s="175">
        <f t="shared" si="11"/>
        <v>3100</v>
      </c>
      <c r="G63" s="460">
        <f t="shared" si="11"/>
        <v>3580</v>
      </c>
      <c r="H63" s="175">
        <f t="shared" si="11"/>
        <v>3100</v>
      </c>
      <c r="I63" s="249">
        <f t="shared" ref="I63" si="12">+SUM(I59:I62)</f>
        <v>3580</v>
      </c>
    </row>
    <row r="64" spans="1:9">
      <c r="G64" s="220"/>
    </row>
    <row r="65" spans="1:10">
      <c r="A65" s="462" t="s">
        <v>230</v>
      </c>
      <c r="B65" s="176"/>
      <c r="C65" s="177">
        <f t="shared" ref="C65:I65" si="13">+C24+C42+C56+C63</f>
        <v>92690.389451361116</v>
      </c>
      <c r="D65" s="177">
        <f t="shared" si="13"/>
        <v>93988.957535416688</v>
      </c>
      <c r="E65" s="177">
        <f t="shared" si="13"/>
        <v>98149.006574999992</v>
      </c>
      <c r="F65" s="178">
        <f t="shared" si="13"/>
        <v>96586.623775333341</v>
      </c>
      <c r="G65" s="461">
        <f t="shared" si="13"/>
        <v>100653.3805</v>
      </c>
      <c r="H65" s="178">
        <f t="shared" si="13"/>
        <v>97766.627437000003</v>
      </c>
      <c r="I65" s="179">
        <f t="shared" si="13"/>
        <v>100670</v>
      </c>
      <c r="J65" s="153"/>
    </row>
    <row r="66" spans="1:10">
      <c r="A66" s="252" t="s">
        <v>349</v>
      </c>
      <c r="B66" s="252"/>
      <c r="C66" s="233"/>
      <c r="D66" s="233"/>
      <c r="E66" s="233"/>
      <c r="F66" s="233"/>
      <c r="G66" s="233"/>
      <c r="H66" s="233"/>
      <c r="I66" s="233">
        <f>+I65-G65</f>
        <v>16.619500000000698</v>
      </c>
    </row>
    <row r="67" spans="1:10">
      <c r="A67" s="252"/>
      <c r="B67" s="252"/>
      <c r="C67" s="233"/>
      <c r="D67" s="233"/>
      <c r="E67" s="233"/>
      <c r="F67" s="233"/>
      <c r="G67" s="233"/>
      <c r="H67" s="233"/>
      <c r="I67" s="449">
        <f>+I66/G65</f>
        <v>1.6511616318739237E-4</v>
      </c>
      <c r="J67" s="447"/>
    </row>
    <row r="68" spans="1:10" hidden="1">
      <c r="A68" s="162"/>
      <c r="B68" s="341"/>
      <c r="C68" s="341" t="s">
        <v>233</v>
      </c>
      <c r="D68" s="341"/>
      <c r="E68" s="341"/>
      <c r="F68" s="341"/>
      <c r="G68" s="341"/>
      <c r="H68" s="448"/>
    </row>
    <row r="69" spans="1:10" hidden="1">
      <c r="A69" s="524" t="s">
        <v>234</v>
      </c>
      <c r="B69" s="251"/>
      <c r="C69" s="156">
        <f>+C65-C22</f>
        <v>87649.275326361123</v>
      </c>
      <c r="D69" s="156">
        <f>+D65-D22</f>
        <v>88947.843410416681</v>
      </c>
      <c r="E69" s="156">
        <f>+E65-E22</f>
        <v>92275.566074999995</v>
      </c>
      <c r="F69" s="156">
        <f>+F65-F22</f>
        <v>91326.330775333336</v>
      </c>
      <c r="G69" s="341"/>
      <c r="H69" s="448"/>
    </row>
    <row r="70" spans="1:10" hidden="1">
      <c r="G70" s="250"/>
      <c r="I70" s="250"/>
    </row>
  </sheetData>
  <mergeCells count="3">
    <mergeCell ref="A13:A15"/>
    <mergeCell ref="B1:F1"/>
    <mergeCell ref="J29:J34"/>
  </mergeCells>
  <pageMargins left="0.7" right="0.7" top="0.75" bottom="0.25" header="0.3" footer="0.3"/>
  <pageSetup orientation="portrait" horizontalDpi="0" verticalDpi="0" r:id="rId1"/>
  <headerFooter>
    <oddHeader>&amp;CPASTOR KAREN
2020 Budget</oddHeader>
    <oddFooter>&amp;R&amp;D</oddFooter>
  </headerFooter>
  <rowBreaks count="1" manualBreakCount="1">
    <brk id="46" max="16383" man="1"/>
  </rowBreaks>
  <legacyDrawing r:id="rId2"/>
</worksheet>
</file>

<file path=xl/worksheets/sheet6.xml><?xml version="1.0" encoding="utf-8"?>
<worksheet xmlns="http://schemas.openxmlformats.org/spreadsheetml/2006/main" xmlns:r="http://schemas.openxmlformats.org/officeDocument/2006/relationships">
  <dimension ref="A1:N64"/>
  <sheetViews>
    <sheetView showGridLines="0" workbookViewId="0">
      <selection activeCell="A4" sqref="A4"/>
    </sheetView>
  </sheetViews>
  <sheetFormatPr defaultRowHeight="14.5"/>
  <cols>
    <col min="1" max="1" width="35" style="146" customWidth="1"/>
    <col min="2" max="2" width="13.90625" style="220" customWidth="1"/>
    <col min="3" max="3" width="13.90625" style="146" customWidth="1"/>
    <col min="4" max="4" width="13.90625" style="146" hidden="1" customWidth="1"/>
    <col min="5" max="5" width="8.7265625" style="146"/>
    <col min="6" max="6" width="10.453125" style="146" bestFit="1" customWidth="1"/>
    <col min="7" max="16384" width="8.7265625" style="146"/>
  </cols>
  <sheetData>
    <row r="1" spans="1:14" ht="21">
      <c r="A1" s="692" t="s">
        <v>424</v>
      </c>
      <c r="B1" s="692"/>
      <c r="C1" s="692"/>
      <c r="D1" s="372"/>
      <c r="E1" s="372"/>
      <c r="F1" s="372"/>
      <c r="G1" s="372"/>
      <c r="H1" s="372"/>
      <c r="I1" s="372"/>
      <c r="J1" s="372"/>
      <c r="K1" s="372"/>
      <c r="L1" s="372"/>
      <c r="M1" s="372"/>
      <c r="N1" s="372"/>
    </row>
    <row r="2" spans="1:14" ht="21">
      <c r="A2" s="692" t="s">
        <v>348</v>
      </c>
      <c r="B2" s="692"/>
      <c r="C2" s="692"/>
      <c r="D2" s="372"/>
      <c r="E2" s="372"/>
      <c r="F2" s="372"/>
      <c r="G2" s="372"/>
      <c r="H2" s="372"/>
      <c r="I2" s="372"/>
      <c r="J2" s="372"/>
      <c r="K2" s="372"/>
      <c r="L2" s="372"/>
      <c r="M2" s="372"/>
      <c r="N2" s="372"/>
    </row>
    <row r="3" spans="1:14">
      <c r="A3" s="221" t="s">
        <v>471</v>
      </c>
      <c r="B3" s="187"/>
      <c r="C3" s="200"/>
      <c r="D3" s="223"/>
    </row>
    <row r="4" spans="1:14">
      <c r="A4" s="200" t="s">
        <v>444</v>
      </c>
      <c r="B4" s="493">
        <f>20808*(1+'New Year-Full Year'!F$84)</f>
        <v>21224.16</v>
      </c>
      <c r="C4" s="495"/>
      <c r="D4" s="202"/>
    </row>
    <row r="5" spans="1:14">
      <c r="A5" s="200" t="s">
        <v>445</v>
      </c>
      <c r="B5" s="493">
        <f>45000*(1+'New Year-Full Year'!F$84)</f>
        <v>45900</v>
      </c>
      <c r="C5" s="495"/>
      <c r="D5" s="202"/>
    </row>
    <row r="6" spans="1:14">
      <c r="A6" s="200" t="s">
        <v>412</v>
      </c>
      <c r="B6" s="493">
        <f>(+B4+B5)*B25</f>
        <v>5134.9982399999999</v>
      </c>
      <c r="C6" s="495"/>
      <c r="D6" s="202"/>
    </row>
    <row r="7" spans="1:14">
      <c r="A7" s="200" t="s">
        <v>413</v>
      </c>
      <c r="B7" s="493">
        <f>+'New Year-Full Year'!Q115+'New Year-Full Year'!Q116+'New Year-Full Year'!Q117+'New Year-Full Year'!Q118+'New Year-Full Year'!Q119</f>
        <v>5080</v>
      </c>
      <c r="C7" s="495"/>
      <c r="D7" s="202"/>
    </row>
    <row r="8" spans="1:14">
      <c r="A8" s="200" t="s">
        <v>414</v>
      </c>
      <c r="B8" s="493">
        <f>+'New Year-Full Year'!Q165</f>
        <v>600</v>
      </c>
      <c r="C8" s="495"/>
      <c r="D8" s="202"/>
    </row>
    <row r="9" spans="1:14" ht="15" customHeight="1">
      <c r="A9" s="216" t="s">
        <v>172</v>
      </c>
      <c r="B9" s="465">
        <f>SUM(B4:B8)</f>
        <v>77939.158240000004</v>
      </c>
      <c r="C9" s="496"/>
      <c r="D9" s="202"/>
    </row>
    <row r="10" spans="1:14" ht="10" customHeight="1">
      <c r="A10" s="222"/>
      <c r="B10" s="454"/>
      <c r="C10" s="165"/>
      <c r="D10" s="202"/>
    </row>
    <row r="11" spans="1:14" ht="29">
      <c r="B11" s="487" t="s">
        <v>409</v>
      </c>
      <c r="C11" s="242" t="s">
        <v>348</v>
      </c>
      <c r="D11" s="147" t="s">
        <v>227</v>
      </c>
    </row>
    <row r="12" spans="1:14">
      <c r="A12" s="499" t="s">
        <v>42</v>
      </c>
      <c r="B12" s="488">
        <f>+B14-B13</f>
        <v>40802</v>
      </c>
      <c r="C12" s="455">
        <f>+C14-C13</f>
        <v>40802</v>
      </c>
      <c r="D12" s="193"/>
    </row>
    <row r="13" spans="1:14" ht="15" thickBot="1">
      <c r="A13" s="188" t="s">
        <v>170</v>
      </c>
      <c r="B13" s="195">
        <f>ROUND(+B14*0.3,0)</f>
        <v>17487</v>
      </c>
      <c r="C13" s="151">
        <f>ROUND(+C14*0.3,0)</f>
        <v>17487</v>
      </c>
      <c r="D13" s="195"/>
    </row>
    <row r="14" spans="1:14" ht="14.5" customHeight="1">
      <c r="A14" s="188" t="s">
        <v>172</v>
      </c>
      <c r="B14" s="489">
        <v>58289</v>
      </c>
      <c r="C14" s="453">
        <v>58289</v>
      </c>
      <c r="D14" s="199"/>
    </row>
    <row r="15" spans="1:14" ht="5.5" customHeight="1">
      <c r="A15" s="200"/>
      <c r="B15" s="193"/>
      <c r="C15" s="150"/>
      <c r="D15" s="193"/>
    </row>
    <row r="16" spans="1:14">
      <c r="A16" s="188" t="s">
        <v>186</v>
      </c>
      <c r="B16" s="490">
        <v>1</v>
      </c>
      <c r="C16" s="450">
        <v>0.5</v>
      </c>
      <c r="D16" s="203"/>
    </row>
    <row r="17" spans="1:6" hidden="1">
      <c r="A17" s="200"/>
      <c r="B17" s="193"/>
      <c r="C17" s="150"/>
      <c r="D17" s="193"/>
    </row>
    <row r="18" spans="1:6">
      <c r="A18" s="188" t="s">
        <v>204</v>
      </c>
      <c r="B18" s="468">
        <v>0</v>
      </c>
      <c r="C18" s="474">
        <v>0</v>
      </c>
      <c r="D18" s="206"/>
    </row>
    <row r="19" spans="1:6">
      <c r="A19" s="207" t="s">
        <v>202</v>
      </c>
      <c r="B19" s="457">
        <f>ROUND(+B14*(1+B18)*B16,0)</f>
        <v>58289</v>
      </c>
      <c r="C19" s="155">
        <f>ROUND(+C14*(1+C18)*C16,0)</f>
        <v>29145</v>
      </c>
      <c r="D19" s="211"/>
    </row>
    <row r="20" spans="1:6">
      <c r="A20" s="691" t="s">
        <v>205</v>
      </c>
      <c r="B20" s="193"/>
      <c r="C20" s="150"/>
      <c r="D20" s="193"/>
    </row>
    <row r="21" spans="1:6">
      <c r="A21" s="691"/>
      <c r="B21" s="212">
        <f>+B35</f>
        <v>0</v>
      </c>
      <c r="C21" s="145">
        <f>+C35</f>
        <v>0</v>
      </c>
      <c r="D21" s="212"/>
    </row>
    <row r="22" spans="1:6">
      <c r="A22" s="691"/>
      <c r="B22" s="193"/>
      <c r="C22" s="150"/>
      <c r="D22" s="193"/>
    </row>
    <row r="23" spans="1:6">
      <c r="A23" s="207" t="s">
        <v>202</v>
      </c>
      <c r="B23" s="457">
        <f>+B19+B21</f>
        <v>58289</v>
      </c>
      <c r="C23" s="155">
        <f>+C19+C21</f>
        <v>29145</v>
      </c>
      <c r="D23" s="211">
        <f>50297+22440</f>
        <v>72737</v>
      </c>
    </row>
    <row r="24" spans="1:6" ht="9" customHeight="1">
      <c r="A24" s="200"/>
      <c r="B24" s="193"/>
      <c r="C24" s="150"/>
      <c r="D24" s="193"/>
    </row>
    <row r="25" spans="1:6">
      <c r="A25" s="200" t="s">
        <v>383</v>
      </c>
      <c r="B25" s="214">
        <v>7.6499999999999999E-2</v>
      </c>
      <c r="C25" s="144">
        <v>7.6499999999999999E-2</v>
      </c>
      <c r="D25" s="214">
        <v>7.6499999999999999E-2</v>
      </c>
      <c r="F25" s="613"/>
    </row>
    <row r="26" spans="1:6">
      <c r="A26" s="200" t="s">
        <v>382</v>
      </c>
      <c r="B26" s="193"/>
      <c r="C26" s="150"/>
      <c r="D26" s="193"/>
    </row>
    <row r="27" spans="1:6" hidden="1">
      <c r="A27" s="200"/>
      <c r="B27" s="193"/>
      <c r="C27" s="150"/>
      <c r="D27" s="193"/>
    </row>
    <row r="28" spans="1:6">
      <c r="A28" s="200" t="s">
        <v>384</v>
      </c>
      <c r="B28" s="212">
        <f>ROUND(+B23*B25,0)</f>
        <v>4459</v>
      </c>
      <c r="C28" s="145">
        <f>ROUND(+C23*C25,0)</f>
        <v>2230</v>
      </c>
      <c r="D28" s="212">
        <f t="shared" ref="D28" si="0">+D23*D25</f>
        <v>5564.3805000000002</v>
      </c>
      <c r="E28" s="153"/>
    </row>
    <row r="29" spans="1:6" hidden="1">
      <c r="A29" s="200"/>
      <c r="B29" s="193"/>
      <c r="C29" s="150"/>
      <c r="D29" s="193"/>
    </row>
    <row r="30" spans="1:6">
      <c r="A30" s="215" t="s">
        <v>206</v>
      </c>
      <c r="B30" s="219">
        <f t="shared" ref="B30" si="1">+B23+B28</f>
        <v>62748</v>
      </c>
      <c r="C30" s="158">
        <f t="shared" ref="C30:D30" si="2">+C23+C28</f>
        <v>31375</v>
      </c>
      <c r="D30" s="219">
        <f t="shared" si="2"/>
        <v>78301.380499999999</v>
      </c>
    </row>
    <row r="31" spans="1:6" ht="8.5" customHeight="1">
      <c r="A31" s="220"/>
      <c r="C31" s="220"/>
      <c r="D31" s="220"/>
    </row>
    <row r="32" spans="1:6" hidden="1">
      <c r="A32" s="221" t="s">
        <v>213</v>
      </c>
      <c r="B32" s="187"/>
      <c r="C32" s="148"/>
      <c r="D32" s="223"/>
    </row>
    <row r="33" spans="1:4">
      <c r="A33" s="462" t="s">
        <v>210</v>
      </c>
      <c r="B33" s="607">
        <f>ROUND(22025*B16,0)</f>
        <v>22025</v>
      </c>
      <c r="C33" s="608">
        <f>ROUND(B33*C$16,0)</f>
        <v>11013</v>
      </c>
      <c r="D33" s="226"/>
    </row>
    <row r="34" spans="1:4" hidden="1">
      <c r="A34" s="200"/>
      <c r="B34" s="193"/>
      <c r="C34" s="150"/>
      <c r="D34" s="202"/>
    </row>
    <row r="35" spans="1:4" hidden="1">
      <c r="A35" s="200" t="s">
        <v>211</v>
      </c>
      <c r="B35" s="463">
        <v>0</v>
      </c>
      <c r="C35" s="470">
        <v>0</v>
      </c>
      <c r="D35" s="137"/>
    </row>
    <row r="36" spans="1:4" hidden="1">
      <c r="A36" s="216" t="s">
        <v>212</v>
      </c>
      <c r="B36" s="491">
        <v>0</v>
      </c>
      <c r="C36" s="471">
        <v>0</v>
      </c>
      <c r="D36" s="227"/>
    </row>
    <row r="37" spans="1:4" ht="7" customHeight="1">
      <c r="A37" s="220"/>
      <c r="C37" s="220"/>
      <c r="D37" s="220"/>
    </row>
    <row r="38" spans="1:4">
      <c r="A38" s="221" t="s">
        <v>411</v>
      </c>
      <c r="B38" s="492">
        <v>0.1</v>
      </c>
      <c r="C38" s="472">
        <v>0.1</v>
      </c>
      <c r="D38" s="229"/>
    </row>
    <row r="39" spans="1:4">
      <c r="A39" s="200" t="s">
        <v>217</v>
      </c>
      <c r="B39" s="190">
        <f>+B30</f>
        <v>62748</v>
      </c>
      <c r="C39" s="149">
        <f>+C30</f>
        <v>31375</v>
      </c>
      <c r="D39" s="230"/>
    </row>
    <row r="40" spans="1:4" hidden="1">
      <c r="A40" s="200" t="s">
        <v>175</v>
      </c>
      <c r="B40" s="190">
        <f>ROUND(+B39*B38,0)</f>
        <v>6275</v>
      </c>
      <c r="C40" s="149">
        <f>ROUND(+C39*C38,0)</f>
        <v>3138</v>
      </c>
      <c r="D40" s="232">
        <v>8613</v>
      </c>
    </row>
    <row r="41" spans="1:4" hidden="1">
      <c r="A41" s="200" t="s">
        <v>214</v>
      </c>
      <c r="B41" s="190">
        <f>+B36</f>
        <v>0</v>
      </c>
      <c r="C41" s="149">
        <f>+C36</f>
        <v>0</v>
      </c>
      <c r="D41" s="232">
        <v>5090</v>
      </c>
    </row>
    <row r="42" spans="1:4">
      <c r="A42" s="215" t="s">
        <v>215</v>
      </c>
      <c r="B42" s="219">
        <f t="shared" ref="B42" si="3">+B40+B41</f>
        <v>6275</v>
      </c>
      <c r="C42" s="158">
        <f t="shared" ref="C42:D42" si="4">+C40+C41</f>
        <v>3138</v>
      </c>
      <c r="D42" s="234">
        <f t="shared" si="4"/>
        <v>13703</v>
      </c>
    </row>
    <row r="43" spans="1:4" hidden="1">
      <c r="A43" s="216" t="s">
        <v>220</v>
      </c>
      <c r="B43" s="467">
        <f>+B42/B39</f>
        <v>0.10000318735258494</v>
      </c>
      <c r="C43" s="473">
        <f>+C42/C39</f>
        <v>0.10001593625498008</v>
      </c>
      <c r="D43" s="235"/>
    </row>
    <row r="44" spans="1:4" ht="7" customHeight="1">
      <c r="A44" s="220"/>
      <c r="C44" s="220"/>
      <c r="D44" s="220"/>
    </row>
    <row r="45" spans="1:4">
      <c r="A45" s="221" t="s">
        <v>219</v>
      </c>
      <c r="B45" s="187"/>
      <c r="C45" s="148"/>
      <c r="D45" s="223"/>
    </row>
    <row r="46" spans="1:4">
      <c r="A46" s="200" t="s">
        <v>178</v>
      </c>
      <c r="B46" s="468">
        <v>1.4999999999999999E-2</v>
      </c>
      <c r="C46" s="474">
        <v>1.4999999999999999E-2</v>
      </c>
      <c r="D46" s="237">
        <v>2.5000000000000001E-2</v>
      </c>
    </row>
    <row r="47" spans="1:4">
      <c r="A47" s="200" t="s">
        <v>179</v>
      </c>
      <c r="B47" s="468">
        <v>7.0000000000000001E-3</v>
      </c>
      <c r="C47" s="474">
        <v>7.0000000000000001E-3</v>
      </c>
      <c r="D47" s="237">
        <v>2E-3</v>
      </c>
    </row>
    <row r="48" spans="1:4">
      <c r="A48" s="200" t="s">
        <v>392</v>
      </c>
      <c r="B48" s="468">
        <v>7.0000000000000001E-3</v>
      </c>
      <c r="C48" s="474">
        <v>7.0000000000000001E-3</v>
      </c>
      <c r="D48" s="237">
        <v>7.0000000000000001E-3</v>
      </c>
    </row>
    <row r="49" spans="1:7">
      <c r="A49" s="200" t="s">
        <v>222</v>
      </c>
      <c r="B49" s="469">
        <f t="shared" ref="B49" si="5">+B46+B47+B48</f>
        <v>2.8999999999999998E-2</v>
      </c>
      <c r="C49" s="475">
        <f t="shared" ref="C49:D49" si="6">+C46+C47+C48</f>
        <v>2.8999999999999998E-2</v>
      </c>
      <c r="D49" s="239">
        <f t="shared" si="6"/>
        <v>3.4000000000000002E-2</v>
      </c>
    </row>
    <row r="50" spans="1:7">
      <c r="A50" s="200" t="s">
        <v>217</v>
      </c>
      <c r="B50" s="190">
        <f>+B30</f>
        <v>62748</v>
      </c>
      <c r="C50" s="149">
        <f>+C30</f>
        <v>31375</v>
      </c>
      <c r="D50" s="230">
        <f>+D30</f>
        <v>78301.380499999999</v>
      </c>
    </row>
    <row r="51" spans="1:7">
      <c r="A51" s="168" t="s">
        <v>221</v>
      </c>
      <c r="B51" s="219">
        <f>ROUND(+B50*B49,0)</f>
        <v>1820</v>
      </c>
      <c r="C51" s="158">
        <f>ROUND(+C50*C49,0)</f>
        <v>910</v>
      </c>
      <c r="D51" s="170" t="e">
        <f>+#REF!*D49</f>
        <v>#REF!</v>
      </c>
    </row>
    <row r="52" spans="1:7" ht="7.5" customHeight="1"/>
    <row r="53" spans="1:7">
      <c r="A53" s="159" t="s">
        <v>107</v>
      </c>
      <c r="B53" s="458"/>
      <c r="C53" s="247"/>
      <c r="D53" s="172"/>
    </row>
    <row r="54" spans="1:7">
      <c r="A54" s="162" t="s">
        <v>228</v>
      </c>
      <c r="B54" s="459">
        <v>1200</v>
      </c>
      <c r="C54" s="477">
        <f>ROUND(B54*C$16,0)</f>
        <v>600</v>
      </c>
      <c r="D54" s="477">
        <f>C54*D$16</f>
        <v>0</v>
      </c>
    </row>
    <row r="55" spans="1:7">
      <c r="A55" s="162" t="s">
        <v>229</v>
      </c>
      <c r="B55" s="459">
        <v>750</v>
      </c>
      <c r="C55" s="477">
        <f>ROUND(B55*C$16,0)</f>
        <v>375</v>
      </c>
      <c r="D55" s="167">
        <v>700</v>
      </c>
    </row>
    <row r="56" spans="1:7">
      <c r="A56" s="162" t="s">
        <v>107</v>
      </c>
      <c r="B56" s="459">
        <v>600</v>
      </c>
      <c r="C56" s="477">
        <f>ROUND(B56*C$16,0)</f>
        <v>300</v>
      </c>
      <c r="D56" s="167">
        <v>600</v>
      </c>
    </row>
    <row r="57" spans="1:7">
      <c r="A57" s="200" t="s">
        <v>245</v>
      </c>
      <c r="B57" s="459">
        <v>480</v>
      </c>
      <c r="C57" s="477">
        <f>ROUND(B57*C$16,0)</f>
        <v>240</v>
      </c>
      <c r="D57" s="182">
        <f>25*12</f>
        <v>300</v>
      </c>
    </row>
    <row r="58" spans="1:7">
      <c r="A58" s="200" t="s">
        <v>377</v>
      </c>
      <c r="B58" s="459">
        <v>300</v>
      </c>
      <c r="C58" s="248">
        <v>300</v>
      </c>
      <c r="D58" s="182"/>
    </row>
    <row r="59" spans="1:7">
      <c r="A59" s="173" t="s">
        <v>231</v>
      </c>
      <c r="B59" s="460">
        <f>+SUM(B54:B58)</f>
        <v>3330</v>
      </c>
      <c r="C59" s="249">
        <f>+SUM(C54:C58)</f>
        <v>1815</v>
      </c>
      <c r="D59" s="175">
        <f>+SUM(D54:D57)</f>
        <v>1600</v>
      </c>
      <c r="G59" s="153"/>
    </row>
    <row r="60" spans="1:7" ht="8" customHeight="1"/>
    <row r="61" spans="1:7">
      <c r="A61" s="176" t="s">
        <v>408</v>
      </c>
      <c r="B61" s="461">
        <f>+B30+B33+B42+B51+B59</f>
        <v>96198</v>
      </c>
      <c r="C61" s="179">
        <f>+C30+C33+C42+C51+C59</f>
        <v>48251</v>
      </c>
      <c r="D61" s="178" t="e">
        <f>+D30+D42+D51+D59</f>
        <v>#REF!</v>
      </c>
      <c r="E61" s="153"/>
      <c r="F61" s="501"/>
      <c r="G61" s="501"/>
    </row>
    <row r="62" spans="1:7" ht="7.5" customHeight="1">
      <c r="A62" s="252"/>
      <c r="B62" s="233"/>
      <c r="C62" s="233"/>
      <c r="D62" s="233"/>
    </row>
    <row r="63" spans="1:7">
      <c r="A63" s="497" t="s">
        <v>410</v>
      </c>
      <c r="B63" s="498">
        <f>+B9-B61</f>
        <v>-18258.841759999996</v>
      </c>
      <c r="C63" s="341"/>
      <c r="D63" s="448"/>
    </row>
    <row r="64" spans="1:7">
      <c r="B64" s="494"/>
      <c r="C64" s="46">
        <v>48249.5</v>
      </c>
    </row>
  </sheetData>
  <mergeCells count="3">
    <mergeCell ref="A20:A22"/>
    <mergeCell ref="A1:C1"/>
    <mergeCell ref="A2:C2"/>
  </mergeCells>
  <pageMargins left="0.7" right="0.7" top="0.75" bottom="0.75" header="0.3" footer="0.3"/>
  <pageSetup orientation="portrait" horizontalDpi="0" verticalDpi="0" r:id="rId1"/>
  <headerFooter>
    <oddFooter>&amp;R&amp;D</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O80"/>
  <sheetViews>
    <sheetView showGridLines="0" topLeftCell="A52" workbookViewId="0">
      <selection activeCell="M63" sqref="M63"/>
    </sheetView>
  </sheetViews>
  <sheetFormatPr defaultRowHeight="14.5"/>
  <cols>
    <col min="1" max="1" width="7.453125" style="146" customWidth="1"/>
    <col min="2" max="2" width="39.26953125" style="146" customWidth="1"/>
    <col min="3" max="3" width="9.54296875" style="146" customWidth="1"/>
    <col min="4" max="4" width="9.36328125" style="146" customWidth="1"/>
    <col min="5" max="5" width="1.7265625" style="146" customWidth="1"/>
    <col min="6" max="6" width="4" style="146" customWidth="1"/>
    <col min="7" max="7" width="4.54296875" style="146" customWidth="1"/>
    <col min="8" max="8" width="4" style="146" customWidth="1"/>
    <col min="9" max="9" width="4.54296875" style="146" customWidth="1"/>
    <col min="10" max="10" width="4" style="146" customWidth="1"/>
    <col min="11" max="11" width="4.54296875" style="146" customWidth="1"/>
    <col min="12" max="12" width="4" style="146" customWidth="1"/>
    <col min="13" max="13" width="4.54296875" style="146" customWidth="1"/>
    <col min="14" max="14" width="4.26953125" style="146" customWidth="1"/>
    <col min="15" max="16384" width="8.7265625" style="146"/>
  </cols>
  <sheetData>
    <row r="1" spans="1:14" ht="21">
      <c r="A1" s="692" t="s">
        <v>423</v>
      </c>
      <c r="B1" s="692"/>
      <c r="C1" s="692"/>
      <c r="D1" s="692"/>
      <c r="E1" s="692"/>
      <c r="F1" s="692"/>
      <c r="G1" s="692"/>
      <c r="H1" s="692"/>
      <c r="I1" s="692"/>
      <c r="J1" s="692"/>
      <c r="K1" s="692"/>
      <c r="L1" s="692"/>
      <c r="M1" s="692"/>
      <c r="N1" s="692"/>
    </row>
    <row r="2" spans="1:14" ht="21">
      <c r="A2" s="692" t="s">
        <v>348</v>
      </c>
      <c r="B2" s="692"/>
      <c r="C2" s="692"/>
      <c r="D2" s="692"/>
      <c r="E2" s="692"/>
      <c r="F2" s="692"/>
      <c r="G2" s="692"/>
      <c r="H2" s="692"/>
      <c r="I2" s="692"/>
      <c r="J2" s="692"/>
      <c r="K2" s="692"/>
      <c r="L2" s="692"/>
      <c r="M2" s="692"/>
      <c r="N2" s="692"/>
    </row>
    <row r="3" spans="1:14" ht="15" thickBot="1"/>
    <row r="4" spans="1:14" ht="32.5" customHeight="1" thickTop="1" thickBot="1">
      <c r="C4" s="564" t="s">
        <v>203</v>
      </c>
      <c r="D4" s="565" t="s">
        <v>348</v>
      </c>
      <c r="E4" s="702" t="s">
        <v>422</v>
      </c>
      <c r="F4" s="702"/>
      <c r="G4" s="702"/>
      <c r="H4" s="702"/>
      <c r="I4" s="702"/>
      <c r="J4" s="702"/>
      <c r="K4" s="702"/>
      <c r="L4" s="702"/>
      <c r="M4" s="702"/>
      <c r="N4" s="703"/>
    </row>
    <row r="5" spans="1:14" ht="15" thickTop="1">
      <c r="A5" s="500"/>
      <c r="B5" s="355"/>
      <c r="C5" s="570"/>
      <c r="D5" s="566"/>
      <c r="E5" s="350"/>
      <c r="F5" s="363">
        <v>4</v>
      </c>
      <c r="G5" s="341" t="s">
        <v>260</v>
      </c>
      <c r="H5" s="363">
        <v>4</v>
      </c>
      <c r="I5" s="341" t="s">
        <v>263</v>
      </c>
      <c r="J5" s="363">
        <v>4</v>
      </c>
      <c r="K5" s="341" t="s">
        <v>258</v>
      </c>
      <c r="L5" s="363">
        <v>4</v>
      </c>
      <c r="M5" s="341" t="s">
        <v>265</v>
      </c>
      <c r="N5" s="345"/>
    </row>
    <row r="6" spans="1:14">
      <c r="A6" s="362"/>
      <c r="B6" s="341"/>
      <c r="C6" s="571"/>
      <c r="D6" s="566"/>
      <c r="E6" s="350"/>
      <c r="F6" s="363">
        <v>4</v>
      </c>
      <c r="G6" s="341" t="s">
        <v>261</v>
      </c>
      <c r="H6" s="363">
        <v>5</v>
      </c>
      <c r="I6" s="341" t="s">
        <v>256</v>
      </c>
      <c r="J6" s="363">
        <v>5</v>
      </c>
      <c r="K6" s="341" t="s">
        <v>264</v>
      </c>
      <c r="L6" s="363">
        <v>5</v>
      </c>
      <c r="M6" s="341" t="s">
        <v>266</v>
      </c>
      <c r="N6" s="345"/>
    </row>
    <row r="7" spans="1:14">
      <c r="A7" s="365" t="s">
        <v>254</v>
      </c>
      <c r="B7" s="366" t="s">
        <v>255</v>
      </c>
      <c r="C7" s="572">
        <v>52</v>
      </c>
      <c r="D7" s="567">
        <f>+SUM(F5:F7)+SUM(H5:H7)+SUM(J5:J7)+SUM(L5:L7)</f>
        <v>52</v>
      </c>
      <c r="E7" s="525"/>
      <c r="F7" s="367">
        <v>5</v>
      </c>
      <c r="G7" s="366" t="s">
        <v>262</v>
      </c>
      <c r="H7" s="367">
        <v>4</v>
      </c>
      <c r="I7" s="366" t="s">
        <v>257</v>
      </c>
      <c r="J7" s="367">
        <v>4</v>
      </c>
      <c r="K7" s="366" t="s">
        <v>259</v>
      </c>
      <c r="L7" s="367">
        <v>4</v>
      </c>
      <c r="M7" s="366" t="s">
        <v>267</v>
      </c>
      <c r="N7" s="368"/>
    </row>
    <row r="8" spans="1:14">
      <c r="A8" s="369"/>
      <c r="B8" s="370" t="s">
        <v>268</v>
      </c>
      <c r="C8" s="568">
        <v>4</v>
      </c>
      <c r="D8" s="568">
        <v>4</v>
      </c>
      <c r="E8" s="526"/>
      <c r="F8" s="370" t="s">
        <v>350</v>
      </c>
      <c r="G8" s="370"/>
      <c r="H8" s="370"/>
      <c r="I8" s="370"/>
      <c r="J8" s="370"/>
      <c r="K8" s="370"/>
      <c r="L8" s="370"/>
      <c r="M8" s="370"/>
      <c r="N8" s="371"/>
    </row>
    <row r="9" spans="1:14">
      <c r="A9" s="369"/>
      <c r="B9" s="370" t="s">
        <v>269</v>
      </c>
      <c r="C9" s="568">
        <v>6</v>
      </c>
      <c r="D9" s="568">
        <v>7</v>
      </c>
      <c r="E9" s="526"/>
      <c r="F9" s="370" t="s">
        <v>351</v>
      </c>
      <c r="G9" s="370"/>
      <c r="H9" s="370"/>
      <c r="I9" s="370"/>
      <c r="J9" s="370"/>
      <c r="K9" s="370"/>
      <c r="L9" s="370"/>
      <c r="M9" s="370"/>
      <c r="N9" s="371"/>
    </row>
    <row r="10" spans="1:14">
      <c r="A10" s="369"/>
      <c r="B10" s="370" t="s">
        <v>354</v>
      </c>
      <c r="C10" s="568">
        <v>1</v>
      </c>
      <c r="D10" s="568">
        <v>1</v>
      </c>
      <c r="E10" s="526"/>
      <c r="F10" s="370" t="s">
        <v>353</v>
      </c>
      <c r="G10" s="370"/>
      <c r="H10" s="370"/>
      <c r="I10" s="370"/>
      <c r="J10" s="370"/>
      <c r="K10" s="370"/>
      <c r="L10" s="370"/>
      <c r="M10" s="370"/>
      <c r="N10" s="371"/>
    </row>
    <row r="11" spans="1:14" ht="15" thickBot="1">
      <c r="A11" s="364"/>
      <c r="B11" s="351" t="s">
        <v>270</v>
      </c>
      <c r="C11" s="569">
        <v>15</v>
      </c>
      <c r="D11" s="569">
        <v>15</v>
      </c>
      <c r="E11" s="527"/>
      <c r="F11" s="351" t="s">
        <v>352</v>
      </c>
      <c r="G11" s="351"/>
      <c r="H11" s="351"/>
      <c r="I11" s="351"/>
      <c r="J11" s="351"/>
      <c r="K11" s="351"/>
      <c r="L11" s="351"/>
      <c r="M11" s="351"/>
      <c r="N11" s="352"/>
    </row>
    <row r="12" spans="1:14" ht="16.5" customHeight="1" thickTop="1" thickBot="1">
      <c r="A12" s="372"/>
    </row>
    <row r="13" spans="1:14" ht="49" customHeight="1" thickTop="1" thickBot="1">
      <c r="A13" s="561" t="s">
        <v>247</v>
      </c>
      <c r="B13" s="557"/>
      <c r="C13" s="573">
        <v>3000</v>
      </c>
      <c r="D13" s="574">
        <f>ROUND(+C13*(1+'New Year-Full Year'!F84),0)</f>
        <v>3060</v>
      </c>
      <c r="E13" s="549"/>
      <c r="F13" s="704" t="s">
        <v>468</v>
      </c>
      <c r="G13" s="704"/>
      <c r="H13" s="704"/>
      <c r="I13" s="704"/>
      <c r="J13" s="704"/>
      <c r="K13" s="704"/>
      <c r="L13" s="704"/>
      <c r="M13" s="704"/>
      <c r="N13" s="705"/>
    </row>
    <row r="14" spans="1:14" ht="15.5" thickTop="1" thickBot="1">
      <c r="A14" s="699" t="s">
        <v>278</v>
      </c>
      <c r="B14" s="700"/>
      <c r="C14" s="700"/>
      <c r="D14" s="700"/>
      <c r="E14" s="700"/>
      <c r="F14" s="700"/>
      <c r="G14" s="700"/>
      <c r="H14" s="700"/>
      <c r="I14" s="700"/>
      <c r="J14" s="700"/>
      <c r="K14" s="700"/>
      <c r="L14" s="700"/>
      <c r="M14" s="700"/>
      <c r="N14" s="701"/>
    </row>
    <row r="15" spans="1:14" ht="15" customHeight="1" thickTop="1">
      <c r="A15" s="714" t="s">
        <v>280</v>
      </c>
      <c r="B15" s="354" t="s">
        <v>285</v>
      </c>
      <c r="C15" s="575">
        <v>37</v>
      </c>
      <c r="D15" s="576">
        <f>+D7-D11</f>
        <v>37</v>
      </c>
      <c r="E15" s="528"/>
      <c r="F15" s="706" t="s">
        <v>307</v>
      </c>
      <c r="G15" s="706"/>
      <c r="H15" s="706"/>
      <c r="I15" s="706"/>
      <c r="J15" s="706"/>
      <c r="K15" s="706"/>
      <c r="L15" s="706"/>
      <c r="M15" s="706"/>
      <c r="N15" s="707"/>
    </row>
    <row r="16" spans="1:14">
      <c r="A16" s="715"/>
      <c r="B16" s="340" t="s">
        <v>284</v>
      </c>
      <c r="C16" s="577">
        <v>1</v>
      </c>
      <c r="D16" s="577">
        <v>1</v>
      </c>
      <c r="E16" s="529"/>
      <c r="F16" s="708"/>
      <c r="G16" s="708"/>
      <c r="H16" s="708"/>
      <c r="I16" s="708"/>
      <c r="J16" s="708"/>
      <c r="K16" s="708"/>
      <c r="L16" s="708"/>
      <c r="M16" s="708"/>
      <c r="N16" s="709"/>
    </row>
    <row r="17" spans="1:15">
      <c r="A17" s="715"/>
      <c r="B17" s="346" t="s">
        <v>282</v>
      </c>
      <c r="C17" s="578">
        <f>+C15*C16</f>
        <v>37</v>
      </c>
      <c r="D17" s="578">
        <f>+D15*D16</f>
        <v>37</v>
      </c>
      <c r="E17" s="530"/>
      <c r="F17" s="347"/>
      <c r="G17" s="347"/>
      <c r="H17" s="358"/>
      <c r="I17" s="347"/>
      <c r="J17" s="358"/>
      <c r="K17" s="347"/>
      <c r="L17" s="358"/>
      <c r="M17" s="347"/>
      <c r="N17" s="349"/>
    </row>
    <row r="18" spans="1:15">
      <c r="A18" s="716"/>
      <c r="B18" s="343" t="s">
        <v>253</v>
      </c>
      <c r="C18" s="579"/>
      <c r="D18" s="579"/>
      <c r="E18" s="531"/>
      <c r="F18" s="161"/>
      <c r="G18" s="161"/>
      <c r="H18" s="222"/>
      <c r="I18" s="161"/>
      <c r="J18" s="222"/>
      <c r="K18" s="161"/>
      <c r="L18" s="222"/>
      <c r="M18" s="161"/>
      <c r="N18" s="344"/>
    </row>
    <row r="19" spans="1:15">
      <c r="A19" s="716"/>
      <c r="B19" s="340" t="s">
        <v>251</v>
      </c>
      <c r="C19" s="577">
        <v>0</v>
      </c>
      <c r="D19" s="577">
        <v>0</v>
      </c>
      <c r="E19" s="529"/>
      <c r="F19" s="341" t="s">
        <v>271</v>
      </c>
      <c r="G19" s="201"/>
      <c r="I19" s="341"/>
      <c r="J19" s="201"/>
      <c r="K19" s="341"/>
      <c r="L19" s="201"/>
      <c r="M19" s="341"/>
      <c r="N19" s="345"/>
    </row>
    <row r="20" spans="1:15">
      <c r="A20" s="716"/>
      <c r="B20" s="346" t="s">
        <v>252</v>
      </c>
      <c r="C20" s="578">
        <f>+C9</f>
        <v>6</v>
      </c>
      <c r="D20" s="578">
        <f>+D9</f>
        <v>7</v>
      </c>
      <c r="E20" s="530"/>
      <c r="F20" s="347" t="s">
        <v>272</v>
      </c>
      <c r="H20" s="348"/>
      <c r="I20" s="347"/>
      <c r="J20" s="348"/>
      <c r="K20" s="347"/>
      <c r="L20" s="348"/>
      <c r="M20" s="347"/>
      <c r="N20" s="349"/>
    </row>
    <row r="21" spans="1:15">
      <c r="A21" s="716"/>
      <c r="B21" s="343" t="s">
        <v>250</v>
      </c>
      <c r="C21" s="580">
        <f>SUM(C17:C20)</f>
        <v>43</v>
      </c>
      <c r="D21" s="580">
        <f>SUM(D17:D20)</f>
        <v>44</v>
      </c>
      <c r="E21" s="532"/>
      <c r="F21" s="161"/>
      <c r="G21" s="161"/>
      <c r="H21" s="222"/>
      <c r="I21" s="161"/>
      <c r="J21" s="222"/>
      <c r="K21" s="161"/>
      <c r="L21" s="222"/>
      <c r="M21" s="161"/>
      <c r="N21" s="344"/>
    </row>
    <row r="22" spans="1:15">
      <c r="A22" s="716"/>
      <c r="B22" s="340" t="s">
        <v>286</v>
      </c>
      <c r="C22" s="581">
        <f>C15</f>
        <v>37</v>
      </c>
      <c r="D22" s="581">
        <f>D15</f>
        <v>37</v>
      </c>
      <c r="E22" s="533"/>
      <c r="F22" s="341" t="s">
        <v>283</v>
      </c>
      <c r="H22" s="201"/>
      <c r="I22" s="341"/>
      <c r="J22" s="201"/>
      <c r="K22" s="341"/>
      <c r="L22" s="201"/>
      <c r="M22" s="341"/>
      <c r="N22" s="345"/>
    </row>
    <row r="23" spans="1:15">
      <c r="A23" s="716"/>
      <c r="B23" s="346" t="s">
        <v>281</v>
      </c>
      <c r="C23" s="582">
        <f>+C21+C22</f>
        <v>80</v>
      </c>
      <c r="D23" s="582">
        <f>+D21+D22</f>
        <v>81</v>
      </c>
      <c r="E23" s="534"/>
      <c r="F23" s="347"/>
      <c r="G23" s="347"/>
      <c r="H23" s="348"/>
      <c r="I23" s="347"/>
      <c r="J23" s="348"/>
      <c r="K23" s="347"/>
      <c r="L23" s="348"/>
      <c r="M23" s="347"/>
      <c r="N23" s="349"/>
    </row>
    <row r="24" spans="1:15">
      <c r="A24" s="717" t="s">
        <v>275</v>
      </c>
      <c r="B24" s="161" t="s">
        <v>292</v>
      </c>
      <c r="C24" s="579">
        <v>6</v>
      </c>
      <c r="D24" s="579">
        <v>6</v>
      </c>
      <c r="E24" s="531"/>
      <c r="F24" s="161"/>
      <c r="G24" s="161"/>
      <c r="H24" s="222"/>
      <c r="I24" s="161"/>
      <c r="J24" s="222"/>
      <c r="K24" s="161"/>
      <c r="L24" s="222"/>
      <c r="M24" s="161"/>
      <c r="N24" s="344"/>
    </row>
    <row r="25" spans="1:15">
      <c r="A25" s="718"/>
      <c r="B25" s="341" t="s">
        <v>355</v>
      </c>
      <c r="C25" s="577">
        <v>0</v>
      </c>
      <c r="D25" s="577">
        <v>3</v>
      </c>
      <c r="E25" s="529"/>
      <c r="F25" s="341" t="s">
        <v>356</v>
      </c>
      <c r="H25" s="201"/>
      <c r="I25" s="341"/>
      <c r="J25" s="201"/>
      <c r="K25" s="341"/>
      <c r="L25" s="201"/>
      <c r="M25" s="341"/>
      <c r="N25" s="345"/>
    </row>
    <row r="26" spans="1:15">
      <c r="A26" s="718"/>
      <c r="B26" s="341" t="s">
        <v>274</v>
      </c>
      <c r="C26" s="583">
        <v>25</v>
      </c>
      <c r="D26" s="583">
        <v>25</v>
      </c>
      <c r="E26" s="535"/>
      <c r="F26" s="341"/>
      <c r="G26" s="341"/>
      <c r="H26" s="201"/>
      <c r="I26" s="341"/>
      <c r="J26" s="201"/>
      <c r="K26" s="341"/>
      <c r="L26" s="201"/>
      <c r="M26" s="341"/>
      <c r="N26" s="345"/>
      <c r="O26" s="153"/>
    </row>
    <row r="27" spans="1:15">
      <c r="A27" s="719"/>
      <c r="B27" s="347" t="s">
        <v>398</v>
      </c>
      <c r="C27" s="584">
        <v>30</v>
      </c>
      <c r="D27" s="584">
        <v>30</v>
      </c>
      <c r="E27" s="536"/>
      <c r="F27" s="347"/>
      <c r="G27" s="347"/>
      <c r="H27" s="348"/>
      <c r="I27" s="347"/>
      <c r="J27" s="348"/>
      <c r="K27" s="347"/>
      <c r="L27" s="348"/>
      <c r="M27" s="347"/>
      <c r="N27" s="349"/>
    </row>
    <row r="28" spans="1:15">
      <c r="A28" s="717" t="s">
        <v>277</v>
      </c>
      <c r="B28" s="161" t="s">
        <v>273</v>
      </c>
      <c r="C28" s="585">
        <f>+C22*C24*C26</f>
        <v>5550</v>
      </c>
      <c r="D28" s="585">
        <f>(+D22*D24*D26)+(D25*2*D26)</f>
        <v>5700</v>
      </c>
      <c r="E28" s="537"/>
      <c r="F28" s="161"/>
      <c r="G28" s="161"/>
      <c r="H28" s="222"/>
      <c r="I28" s="161"/>
      <c r="J28" s="222"/>
      <c r="K28" s="161"/>
      <c r="L28" s="222"/>
      <c r="M28" s="161"/>
      <c r="N28" s="344"/>
    </row>
    <row r="29" spans="1:15">
      <c r="A29" s="718"/>
      <c r="B29" s="341" t="s">
        <v>276</v>
      </c>
      <c r="C29" s="586">
        <f>+C21*C24*C27</f>
        <v>7740</v>
      </c>
      <c r="D29" s="586">
        <f>(+D21*D24*D27)+(D25*2*D27)</f>
        <v>8100</v>
      </c>
      <c r="E29" s="538"/>
      <c r="F29" s="341"/>
      <c r="G29" s="341"/>
      <c r="H29" s="201"/>
      <c r="I29" s="350"/>
      <c r="J29" s="201"/>
      <c r="K29" s="341"/>
      <c r="L29" s="201"/>
      <c r="M29" s="341"/>
      <c r="N29" s="345"/>
    </row>
    <row r="30" spans="1:15" ht="15" thickBot="1">
      <c r="A30" s="720"/>
      <c r="B30" s="562" t="s">
        <v>287</v>
      </c>
      <c r="C30" s="587">
        <f>+C28+C29</f>
        <v>13290</v>
      </c>
      <c r="D30" s="588">
        <f>+D28+D29</f>
        <v>13800</v>
      </c>
      <c r="E30" s="550"/>
      <c r="F30" s="504"/>
      <c r="G30" s="504"/>
      <c r="H30" s="504"/>
      <c r="I30" s="504"/>
      <c r="J30" s="504"/>
      <c r="K30" s="504"/>
      <c r="L30" s="504"/>
      <c r="M30" s="504"/>
      <c r="N30" s="551"/>
    </row>
    <row r="31" spans="1:15" ht="15.5" thickTop="1" thickBot="1">
      <c r="A31" s="699" t="s">
        <v>279</v>
      </c>
      <c r="B31" s="700"/>
      <c r="C31" s="700"/>
      <c r="D31" s="700"/>
      <c r="E31" s="700"/>
      <c r="F31" s="700"/>
      <c r="G31" s="700"/>
      <c r="H31" s="700"/>
      <c r="I31" s="700"/>
      <c r="J31" s="700"/>
      <c r="K31" s="700"/>
      <c r="L31" s="700"/>
      <c r="M31" s="700"/>
      <c r="N31" s="701"/>
    </row>
    <row r="32" spans="1:15" ht="15" customHeight="1" thickTop="1">
      <c r="A32" s="721" t="s">
        <v>280</v>
      </c>
      <c r="B32" s="355" t="s">
        <v>285</v>
      </c>
      <c r="C32" s="589">
        <v>52</v>
      </c>
      <c r="D32" s="589">
        <f>+D7</f>
        <v>52</v>
      </c>
      <c r="E32" s="539"/>
      <c r="F32" s="355"/>
      <c r="G32" s="355"/>
      <c r="H32" s="356"/>
      <c r="I32" s="355"/>
      <c r="J32" s="356"/>
      <c r="K32" s="355"/>
      <c r="L32" s="356"/>
      <c r="M32" s="355"/>
      <c r="N32" s="357"/>
    </row>
    <row r="33" spans="1:14">
      <c r="A33" s="722"/>
      <c r="B33" s="341" t="s">
        <v>284</v>
      </c>
      <c r="C33" s="590">
        <v>2</v>
      </c>
      <c r="D33" s="590">
        <v>2</v>
      </c>
      <c r="E33" s="540"/>
      <c r="F33" s="341"/>
      <c r="G33" s="341"/>
      <c r="H33" s="201"/>
      <c r="I33" s="341"/>
      <c r="J33" s="201"/>
      <c r="K33" s="341"/>
      <c r="L33" s="201"/>
      <c r="M33" s="341"/>
      <c r="N33" s="345"/>
    </row>
    <row r="34" spans="1:14">
      <c r="A34" s="722"/>
      <c r="B34" s="347" t="s">
        <v>282</v>
      </c>
      <c r="C34" s="591">
        <f>+C32*C33</f>
        <v>104</v>
      </c>
      <c r="D34" s="591">
        <f>+D32*D33</f>
        <v>104</v>
      </c>
      <c r="E34" s="541"/>
      <c r="F34" s="347"/>
      <c r="G34" s="347"/>
      <c r="H34" s="348"/>
      <c r="I34" s="347"/>
      <c r="J34" s="348"/>
      <c r="K34" s="347"/>
      <c r="L34" s="348"/>
      <c r="M34" s="347"/>
      <c r="N34" s="349"/>
    </row>
    <row r="35" spans="1:14">
      <c r="A35" s="722"/>
      <c r="B35" s="161" t="s">
        <v>253</v>
      </c>
      <c r="C35" s="592"/>
      <c r="D35" s="592"/>
      <c r="E35" s="542"/>
      <c r="F35" s="161"/>
      <c r="G35" s="161"/>
      <c r="H35" s="222"/>
      <c r="I35" s="161"/>
      <c r="J35" s="222"/>
      <c r="K35" s="161"/>
      <c r="L35" s="222"/>
      <c r="M35" s="161"/>
      <c r="N35" s="344"/>
    </row>
    <row r="36" spans="1:14">
      <c r="A36" s="722"/>
      <c r="B36" s="341" t="s">
        <v>288</v>
      </c>
      <c r="C36" s="593">
        <f>+C8</f>
        <v>4</v>
      </c>
      <c r="D36" s="593">
        <f>+D8</f>
        <v>4</v>
      </c>
      <c r="E36" s="543"/>
      <c r="F36" s="341"/>
      <c r="G36" s="341"/>
      <c r="H36" s="201"/>
      <c r="I36" s="341"/>
      <c r="J36" s="201"/>
      <c r="K36" s="341"/>
      <c r="L36" s="201"/>
      <c r="M36" s="341"/>
      <c r="N36" s="345"/>
    </row>
    <row r="37" spans="1:14">
      <c r="A37" s="722"/>
      <c r="B37" s="341" t="s">
        <v>289</v>
      </c>
      <c r="C37" s="593">
        <f>+C9</f>
        <v>6</v>
      </c>
      <c r="D37" s="593">
        <f>+D9</f>
        <v>7</v>
      </c>
      <c r="E37" s="543"/>
      <c r="F37" s="341"/>
      <c r="G37" s="341"/>
      <c r="H37" s="201"/>
      <c r="I37" s="341"/>
      <c r="J37" s="201"/>
      <c r="K37" s="341"/>
      <c r="L37" s="201"/>
      <c r="M37" s="341"/>
      <c r="N37" s="345"/>
    </row>
    <row r="38" spans="1:14">
      <c r="A38" s="722"/>
      <c r="B38" s="201" t="s">
        <v>290</v>
      </c>
      <c r="C38" s="594">
        <v>20</v>
      </c>
      <c r="D38" s="594">
        <v>20</v>
      </c>
      <c r="E38" s="544"/>
      <c r="F38" s="201" t="s">
        <v>308</v>
      </c>
      <c r="H38" s="201"/>
      <c r="I38" s="201"/>
      <c r="J38" s="201"/>
      <c r="K38" s="201"/>
      <c r="L38" s="201"/>
      <c r="M38" s="201"/>
      <c r="N38" s="360"/>
    </row>
    <row r="39" spans="1:14">
      <c r="A39" s="723"/>
      <c r="B39" s="348" t="s">
        <v>291</v>
      </c>
      <c r="C39" s="595">
        <f>SUM(C34:C38)</f>
        <v>134</v>
      </c>
      <c r="D39" s="595">
        <f>SUM(D34:D38)</f>
        <v>135</v>
      </c>
      <c r="E39" s="348"/>
      <c r="F39" s="348"/>
      <c r="G39" s="348"/>
      <c r="H39" s="348"/>
      <c r="I39" s="348"/>
      <c r="J39" s="348"/>
      <c r="K39" s="348"/>
      <c r="L39" s="348"/>
      <c r="M39" s="348"/>
      <c r="N39" s="359"/>
    </row>
    <row r="40" spans="1:14">
      <c r="A40" s="696" t="s">
        <v>295</v>
      </c>
      <c r="B40" s="161" t="s">
        <v>294</v>
      </c>
      <c r="C40" s="596">
        <v>1</v>
      </c>
      <c r="D40" s="596">
        <v>1</v>
      </c>
      <c r="E40" s="171"/>
      <c r="F40" s="161"/>
      <c r="G40" s="161"/>
      <c r="H40" s="222"/>
      <c r="I40" s="161"/>
      <c r="J40" s="222"/>
      <c r="K40" s="161"/>
      <c r="L40" s="222"/>
      <c r="M40" s="161"/>
      <c r="N40" s="344"/>
    </row>
    <row r="41" spans="1:14">
      <c r="A41" s="695"/>
      <c r="B41" s="347" t="s">
        <v>293</v>
      </c>
      <c r="C41" s="597">
        <v>25</v>
      </c>
      <c r="D41" s="597">
        <v>25</v>
      </c>
      <c r="E41" s="545"/>
      <c r="F41" s="347"/>
      <c r="G41" s="347"/>
      <c r="H41" s="348"/>
      <c r="I41" s="347"/>
      <c r="J41" s="348"/>
      <c r="K41" s="347"/>
      <c r="L41" s="348"/>
      <c r="M41" s="347"/>
      <c r="N41" s="349"/>
    </row>
    <row r="42" spans="1:14" ht="29" customHeight="1" thickBot="1">
      <c r="A42" s="361" t="s">
        <v>277</v>
      </c>
      <c r="B42" s="563" t="s">
        <v>248</v>
      </c>
      <c r="C42" s="598">
        <f>+C39*C40*C41</f>
        <v>3350</v>
      </c>
      <c r="D42" s="599">
        <f>+D39*D40*D41</f>
        <v>3375</v>
      </c>
      <c r="E42" s="553"/>
      <c r="F42" s="552"/>
      <c r="G42" s="697"/>
      <c r="H42" s="697"/>
      <c r="I42" s="697"/>
      <c r="J42" s="697"/>
      <c r="K42" s="697"/>
      <c r="L42" s="697"/>
      <c r="M42" s="697"/>
      <c r="N42" s="698"/>
    </row>
    <row r="43" spans="1:14" ht="15.5" thickTop="1" thickBot="1">
      <c r="A43" s="699" t="s">
        <v>310</v>
      </c>
      <c r="B43" s="700"/>
      <c r="C43" s="700"/>
      <c r="D43" s="700"/>
      <c r="E43" s="700"/>
      <c r="F43" s="700"/>
      <c r="G43" s="700"/>
      <c r="H43" s="700"/>
      <c r="I43" s="700"/>
      <c r="J43" s="700"/>
      <c r="K43" s="700"/>
      <c r="L43" s="700"/>
      <c r="M43" s="700"/>
      <c r="N43" s="701"/>
    </row>
    <row r="44" spans="1:14" ht="15" customHeight="1" thickTop="1">
      <c r="A44" s="693" t="s">
        <v>280</v>
      </c>
      <c r="B44" s="355" t="s">
        <v>285</v>
      </c>
      <c r="C44" s="589">
        <f>+C11</f>
        <v>15</v>
      </c>
      <c r="D44" s="589">
        <f>+D11</f>
        <v>15</v>
      </c>
      <c r="E44" s="539"/>
      <c r="F44" s="706" t="str">
        <f>+F11</f>
        <v>Memorial Day (May 25) - Labor Day (Sept 7)</v>
      </c>
      <c r="G44" s="706"/>
      <c r="H44" s="706"/>
      <c r="I44" s="706"/>
      <c r="J44" s="706"/>
      <c r="K44" s="706"/>
      <c r="L44" s="706"/>
      <c r="M44" s="706"/>
      <c r="N44" s="707"/>
    </row>
    <row r="45" spans="1:14">
      <c r="A45" s="694"/>
      <c r="B45" s="341" t="s">
        <v>284</v>
      </c>
      <c r="C45" s="590">
        <v>1</v>
      </c>
      <c r="D45" s="590">
        <v>1</v>
      </c>
      <c r="E45" s="540"/>
      <c r="F45" s="708"/>
      <c r="G45" s="708"/>
      <c r="H45" s="708"/>
      <c r="I45" s="708"/>
      <c r="J45" s="708"/>
      <c r="K45" s="708"/>
      <c r="L45" s="708"/>
      <c r="M45" s="708"/>
      <c r="N45" s="709"/>
    </row>
    <row r="46" spans="1:14">
      <c r="A46" s="695"/>
      <c r="B46" s="347" t="s">
        <v>282</v>
      </c>
      <c r="C46" s="591">
        <f>+C44*C45</f>
        <v>15</v>
      </c>
      <c r="D46" s="591">
        <f>+D44*D45</f>
        <v>15</v>
      </c>
      <c r="E46" s="541"/>
      <c r="F46" s="347"/>
      <c r="G46" s="347"/>
      <c r="H46" s="348"/>
      <c r="I46" s="347"/>
      <c r="J46" s="348"/>
      <c r="K46" s="347"/>
      <c r="L46" s="348"/>
      <c r="M46" s="347"/>
      <c r="N46" s="349"/>
    </row>
    <row r="47" spans="1:14">
      <c r="A47" s="696" t="s">
        <v>295</v>
      </c>
      <c r="B47" s="161" t="s">
        <v>296</v>
      </c>
      <c r="C47" s="596">
        <v>3</v>
      </c>
      <c r="D47" s="596">
        <v>3</v>
      </c>
      <c r="E47" s="171"/>
      <c r="F47" s="161" t="s">
        <v>297</v>
      </c>
      <c r="H47" s="222"/>
      <c r="I47" s="161"/>
      <c r="J47" s="222"/>
      <c r="K47" s="161"/>
      <c r="L47" s="222"/>
      <c r="M47" s="161"/>
      <c r="N47" s="344"/>
    </row>
    <row r="48" spans="1:14">
      <c r="A48" s="695"/>
      <c r="B48" s="347" t="s">
        <v>298</v>
      </c>
      <c r="C48" s="597">
        <v>50</v>
      </c>
      <c r="D48" s="597">
        <v>50</v>
      </c>
      <c r="E48" s="545"/>
      <c r="F48" s="347"/>
      <c r="G48" s="347"/>
      <c r="H48" s="348"/>
      <c r="I48" s="347"/>
      <c r="J48" s="348"/>
      <c r="K48" s="347"/>
      <c r="L48" s="348"/>
      <c r="M48" s="347"/>
      <c r="N48" s="349"/>
    </row>
    <row r="49" spans="1:15" ht="15" thickBot="1">
      <c r="A49" s="375" t="s">
        <v>277</v>
      </c>
      <c r="B49" s="373" t="s">
        <v>302</v>
      </c>
      <c r="C49" s="600">
        <f>+C46*C47*C48</f>
        <v>2250</v>
      </c>
      <c r="D49" s="600">
        <f>+D46*D47*D48</f>
        <v>2250</v>
      </c>
      <c r="E49" s="546"/>
      <c r="F49" s="222"/>
      <c r="G49" s="222"/>
      <c r="H49" s="222"/>
      <c r="I49" s="222"/>
      <c r="J49" s="222"/>
      <c r="K49" s="222"/>
      <c r="L49" s="222"/>
      <c r="M49" s="222"/>
      <c r="N49" s="374"/>
    </row>
    <row r="50" spans="1:15" ht="15" customHeight="1">
      <c r="A50" s="724" t="s">
        <v>295</v>
      </c>
      <c r="B50" s="376" t="s">
        <v>304</v>
      </c>
      <c r="C50" s="601">
        <v>2</v>
      </c>
      <c r="D50" s="601">
        <v>2</v>
      </c>
      <c r="E50" s="547"/>
      <c r="F50" s="376" t="s">
        <v>297</v>
      </c>
      <c r="G50" s="376"/>
      <c r="H50" s="377"/>
      <c r="I50" s="376"/>
      <c r="J50" s="377"/>
      <c r="K50" s="376"/>
      <c r="L50" s="377"/>
      <c r="M50" s="376"/>
      <c r="N50" s="378"/>
    </row>
    <row r="51" spans="1:15" ht="15" customHeight="1">
      <c r="A51" s="695"/>
      <c r="B51" s="347" t="s">
        <v>303</v>
      </c>
      <c r="C51" s="597">
        <v>25</v>
      </c>
      <c r="D51" s="597">
        <v>25</v>
      </c>
      <c r="E51" s="545"/>
      <c r="F51" s="347"/>
      <c r="G51" s="347"/>
      <c r="H51" s="348"/>
      <c r="I51" s="347"/>
      <c r="J51" s="348"/>
      <c r="K51" s="347"/>
      <c r="L51" s="348"/>
      <c r="M51" s="347"/>
      <c r="N51" s="349"/>
    </row>
    <row r="52" spans="1:15" ht="15" thickBot="1">
      <c r="A52" s="379" t="s">
        <v>277</v>
      </c>
      <c r="B52" s="380" t="s">
        <v>305</v>
      </c>
      <c r="C52" s="602">
        <f>+C44*C50*C51</f>
        <v>750</v>
      </c>
      <c r="D52" s="602">
        <f>+D44*D50*D51</f>
        <v>750</v>
      </c>
      <c r="E52" s="548"/>
      <c r="F52" s="381"/>
      <c r="G52" s="381"/>
      <c r="H52" s="381"/>
      <c r="I52" s="381"/>
      <c r="J52" s="381"/>
      <c r="K52" s="381"/>
      <c r="L52" s="381"/>
      <c r="M52" s="381"/>
      <c r="N52" s="382"/>
    </row>
    <row r="53" spans="1:15" ht="15" thickBot="1">
      <c r="A53" s="361" t="s">
        <v>277</v>
      </c>
      <c r="B53" s="353" t="s">
        <v>306</v>
      </c>
      <c r="C53" s="603">
        <f>+C49+C52</f>
        <v>3000</v>
      </c>
      <c r="D53" s="604">
        <f>+D49+D52</f>
        <v>3000</v>
      </c>
      <c r="E53" s="554"/>
      <c r="F53" s="504"/>
      <c r="G53" s="504"/>
      <c r="H53" s="504"/>
      <c r="I53" s="504"/>
      <c r="J53" s="504"/>
      <c r="K53" s="504"/>
      <c r="L53" s="504"/>
      <c r="M53" s="504"/>
      <c r="N53" s="551"/>
    </row>
    <row r="54" spans="1:15" ht="15.5" thickTop="1" thickBot="1">
      <c r="A54" s="699" t="s">
        <v>249</v>
      </c>
      <c r="B54" s="700"/>
      <c r="C54" s="700"/>
      <c r="D54" s="700"/>
      <c r="E54" s="700"/>
      <c r="F54" s="700"/>
      <c r="G54" s="700"/>
      <c r="H54" s="700"/>
      <c r="I54" s="700"/>
      <c r="J54" s="700"/>
      <c r="K54" s="700"/>
      <c r="L54" s="700"/>
      <c r="M54" s="700"/>
      <c r="N54" s="701"/>
    </row>
    <row r="55" spans="1:15" ht="15" customHeight="1" thickTop="1">
      <c r="A55" s="693" t="s">
        <v>280</v>
      </c>
      <c r="B55" s="355" t="s">
        <v>285</v>
      </c>
      <c r="C55" s="589">
        <f>+C15</f>
        <v>37</v>
      </c>
      <c r="D55" s="589">
        <f>+D15</f>
        <v>37</v>
      </c>
      <c r="E55" s="539"/>
      <c r="F55" s="355"/>
      <c r="G55" s="355" t="s">
        <v>300</v>
      </c>
      <c r="H55" s="356"/>
      <c r="I55" s="355"/>
      <c r="J55" s="356"/>
      <c r="K55" s="355"/>
      <c r="L55" s="356"/>
      <c r="M55" s="355"/>
      <c r="N55" s="357"/>
    </row>
    <row r="56" spans="1:15">
      <c r="A56" s="694"/>
      <c r="B56" s="341" t="s">
        <v>284</v>
      </c>
      <c r="C56" s="590">
        <v>1</v>
      </c>
      <c r="D56" s="590">
        <v>1</v>
      </c>
      <c r="E56" s="540"/>
      <c r="F56" s="341"/>
      <c r="G56" s="341"/>
      <c r="H56" s="201"/>
      <c r="I56" s="341"/>
      <c r="J56" s="201"/>
      <c r="K56" s="341"/>
      <c r="L56" s="201"/>
      <c r="M56" s="341"/>
      <c r="N56" s="345"/>
    </row>
    <row r="57" spans="1:15">
      <c r="A57" s="695"/>
      <c r="B57" s="347" t="s">
        <v>282</v>
      </c>
      <c r="C57" s="591">
        <f>+C55*C56</f>
        <v>37</v>
      </c>
      <c r="D57" s="591">
        <f>+D55*D56</f>
        <v>37</v>
      </c>
      <c r="E57" s="541"/>
      <c r="F57" s="347"/>
      <c r="G57" s="347"/>
      <c r="H57" s="348"/>
      <c r="I57" s="347"/>
      <c r="J57" s="348"/>
      <c r="K57" s="347"/>
      <c r="L57" s="348"/>
      <c r="M57" s="347"/>
      <c r="N57" s="349"/>
    </row>
    <row r="58" spans="1:15">
      <c r="A58" s="696" t="s">
        <v>295</v>
      </c>
      <c r="B58" s="161" t="s">
        <v>301</v>
      </c>
      <c r="C58" s="596">
        <v>1</v>
      </c>
      <c r="D58" s="596">
        <v>1</v>
      </c>
      <c r="E58" s="171"/>
      <c r="F58" s="161"/>
      <c r="G58" s="161"/>
      <c r="H58" s="222"/>
      <c r="I58" s="161"/>
      <c r="J58" s="222"/>
      <c r="K58" s="161"/>
      <c r="L58" s="222"/>
      <c r="M58" s="161"/>
      <c r="N58" s="344"/>
    </row>
    <row r="59" spans="1:15">
      <c r="A59" s="695"/>
      <c r="B59" s="347" t="s">
        <v>298</v>
      </c>
      <c r="C59" s="597">
        <v>25</v>
      </c>
      <c r="D59" s="597">
        <v>25</v>
      </c>
      <c r="E59" s="545"/>
      <c r="F59" s="347"/>
      <c r="G59" s="347"/>
      <c r="H59" s="348"/>
      <c r="I59" s="347"/>
      <c r="J59" s="348"/>
      <c r="K59" s="347"/>
      <c r="L59" s="348"/>
      <c r="M59" s="347"/>
      <c r="N59" s="349"/>
    </row>
    <row r="60" spans="1:15" ht="15" thickBot="1">
      <c r="A60" s="361" t="s">
        <v>277</v>
      </c>
      <c r="B60" s="563" t="s">
        <v>299</v>
      </c>
      <c r="C60" s="598">
        <f>+C57*C58*C59</f>
        <v>925</v>
      </c>
      <c r="D60" s="599">
        <f>+D57*D58*D59</f>
        <v>925</v>
      </c>
      <c r="E60" s="553"/>
      <c r="F60" s="552"/>
      <c r="G60" s="552"/>
      <c r="H60" s="552"/>
      <c r="I60" s="552"/>
      <c r="J60" s="552"/>
      <c r="K60" s="552"/>
      <c r="L60" s="552"/>
      <c r="M60" s="552"/>
      <c r="N60" s="555"/>
      <c r="O60" s="220"/>
    </row>
    <row r="61" spans="1:15" ht="15.5" thickTop="1" thickBot="1">
      <c r="C61" s="342"/>
      <c r="D61" s="342"/>
      <c r="E61" s="556"/>
      <c r="F61" s="220"/>
      <c r="G61" s="220"/>
      <c r="H61" s="220"/>
      <c r="I61" s="220"/>
      <c r="J61" s="220"/>
      <c r="K61" s="220"/>
      <c r="L61" s="220"/>
      <c r="M61" s="220"/>
      <c r="N61" s="220"/>
      <c r="O61" s="220"/>
    </row>
    <row r="62" spans="1:15" ht="15.5" thickTop="1" thickBot="1">
      <c r="A62" s="699" t="s">
        <v>415</v>
      </c>
      <c r="B62" s="700"/>
      <c r="C62" s="605">
        <f>+C13+C30+C42+C53+C60</f>
        <v>23565</v>
      </c>
      <c r="D62" s="606">
        <f>+D13+D30+D42+D53+D60</f>
        <v>24160</v>
      </c>
      <c r="E62" s="558"/>
      <c r="F62" s="201"/>
      <c r="G62" s="201"/>
      <c r="H62" s="201"/>
      <c r="I62" s="201"/>
      <c r="J62" s="201"/>
      <c r="K62" s="201"/>
      <c r="L62" s="201"/>
      <c r="M62" s="201"/>
      <c r="N62" s="201"/>
      <c r="O62" s="201"/>
    </row>
    <row r="63" spans="1:15" ht="15" thickTop="1">
      <c r="A63" s="710" t="s">
        <v>416</v>
      </c>
      <c r="B63" s="711"/>
      <c r="C63" s="502"/>
      <c r="D63" s="503">
        <f>+D62-C62</f>
        <v>595</v>
      </c>
      <c r="E63" s="558"/>
      <c r="F63" s="201"/>
      <c r="G63" s="201"/>
      <c r="H63" s="201"/>
      <c r="I63" s="201"/>
      <c r="J63" s="201"/>
      <c r="K63" s="201"/>
      <c r="L63" s="201"/>
      <c r="M63" s="201"/>
      <c r="N63" s="201"/>
      <c r="O63" s="341"/>
    </row>
    <row r="64" spans="1:15" ht="15" thickBot="1">
      <c r="A64" s="712"/>
      <c r="B64" s="713"/>
      <c r="C64" s="554"/>
      <c r="D64" s="560">
        <f>+D63/C62</f>
        <v>2.5249310417992787E-2</v>
      </c>
      <c r="E64" s="559"/>
      <c r="F64" s="201"/>
      <c r="G64" s="201"/>
      <c r="H64" s="201"/>
      <c r="I64" s="201"/>
      <c r="J64" s="201"/>
      <c r="K64" s="201"/>
      <c r="L64" s="201"/>
      <c r="M64" s="201"/>
      <c r="N64" s="201"/>
      <c r="O64" s="341"/>
    </row>
    <row r="65" spans="5:15" ht="15" thickTop="1">
      <c r="E65" s="341"/>
      <c r="F65" s="341"/>
      <c r="G65" s="341"/>
      <c r="H65" s="201"/>
      <c r="I65" s="341"/>
      <c r="J65" s="201"/>
      <c r="K65" s="341"/>
      <c r="L65" s="201"/>
      <c r="M65" s="341"/>
      <c r="N65" s="341"/>
      <c r="O65" s="341"/>
    </row>
    <row r="66" spans="5:15">
      <c r="H66" s="220"/>
      <c r="J66" s="220"/>
      <c r="L66" s="220"/>
    </row>
    <row r="67" spans="5:15">
      <c r="H67" s="220"/>
      <c r="J67" s="220"/>
      <c r="L67" s="220"/>
    </row>
    <row r="68" spans="5:15">
      <c r="H68" s="220"/>
      <c r="J68" s="220"/>
      <c r="L68" s="220"/>
    </row>
    <row r="69" spans="5:15">
      <c r="H69" s="220"/>
      <c r="J69" s="220"/>
      <c r="L69" s="220"/>
    </row>
    <row r="70" spans="5:15">
      <c r="H70" s="220"/>
      <c r="J70" s="220"/>
      <c r="L70" s="220"/>
    </row>
    <row r="71" spans="5:15">
      <c r="H71" s="220"/>
      <c r="J71" s="220"/>
      <c r="L71" s="220"/>
    </row>
    <row r="72" spans="5:15">
      <c r="H72" s="220"/>
      <c r="J72" s="220"/>
      <c r="L72" s="220"/>
    </row>
    <row r="73" spans="5:15">
      <c r="H73" s="220"/>
      <c r="J73" s="220"/>
      <c r="L73" s="220"/>
    </row>
    <row r="74" spans="5:15">
      <c r="H74" s="220"/>
      <c r="J74" s="220"/>
      <c r="L74" s="220"/>
    </row>
    <row r="75" spans="5:15">
      <c r="H75" s="220"/>
      <c r="J75" s="220"/>
      <c r="L75" s="220"/>
    </row>
    <row r="76" spans="5:15">
      <c r="H76" s="220"/>
      <c r="J76" s="220"/>
      <c r="L76" s="220"/>
    </row>
    <row r="77" spans="5:15">
      <c r="H77" s="220"/>
      <c r="J77" s="220"/>
      <c r="L77" s="220"/>
    </row>
    <row r="78" spans="5:15">
      <c r="H78" s="220"/>
      <c r="J78" s="220"/>
      <c r="L78" s="220"/>
    </row>
    <row r="79" spans="5:15">
      <c r="H79" s="220"/>
      <c r="J79" s="220"/>
      <c r="L79" s="220"/>
    </row>
    <row r="80" spans="5:15">
      <c r="H80" s="220"/>
      <c r="J80" s="220"/>
      <c r="L80" s="220"/>
    </row>
  </sheetData>
  <mergeCells count="23">
    <mergeCell ref="A63:B64"/>
    <mergeCell ref="A55:A57"/>
    <mergeCell ref="A58:A59"/>
    <mergeCell ref="A62:B62"/>
    <mergeCell ref="A15:A23"/>
    <mergeCell ref="A24:A27"/>
    <mergeCell ref="A28:A30"/>
    <mergeCell ref="A32:A39"/>
    <mergeCell ref="A40:A41"/>
    <mergeCell ref="A50:A51"/>
    <mergeCell ref="A31:N31"/>
    <mergeCell ref="A43:N43"/>
    <mergeCell ref="A54:N54"/>
    <mergeCell ref="A1:N1"/>
    <mergeCell ref="A44:A46"/>
    <mergeCell ref="A47:A48"/>
    <mergeCell ref="G42:N42"/>
    <mergeCell ref="A14:N14"/>
    <mergeCell ref="E4:N4"/>
    <mergeCell ref="F13:N13"/>
    <mergeCell ref="F15:N16"/>
    <mergeCell ref="F44:N45"/>
    <mergeCell ref="A2:N2"/>
  </mergeCells>
  <printOptions horizontalCentered="1" verticalCentered="1"/>
  <pageMargins left="0.2" right="0.2" top="0.25" bottom="0.25" header="0.3" footer="0.3"/>
  <pageSetup scale="73" orientation="portrait" horizontalDpi="4294967293" verticalDpi="0" r:id="rId1"/>
  <headerFooter>
    <oddFooter>&amp;R&amp;D</oddFooter>
  </headerFooter>
  <legacyDrawing r:id="rId2"/>
</worksheet>
</file>

<file path=xl/worksheets/sheet8.xml><?xml version="1.0" encoding="utf-8"?>
<worksheet xmlns="http://schemas.openxmlformats.org/spreadsheetml/2006/main" xmlns:r="http://schemas.openxmlformats.org/officeDocument/2006/relationships">
  <sheetPr>
    <pageSetUpPr fitToPage="1"/>
  </sheetPr>
  <dimension ref="A1:G59"/>
  <sheetViews>
    <sheetView showGridLines="0" workbookViewId="0">
      <selection activeCell="D12" sqref="D12"/>
    </sheetView>
  </sheetViews>
  <sheetFormatPr defaultRowHeight="15.5"/>
  <cols>
    <col min="1" max="1" width="1.7265625" style="385" customWidth="1"/>
    <col min="2" max="2" width="41" style="385" customWidth="1"/>
    <col min="3" max="3" width="10.26953125" style="417" customWidth="1"/>
    <col min="4" max="4" width="58.90625" style="385" customWidth="1"/>
    <col min="5" max="16384" width="8.7265625" style="385"/>
  </cols>
  <sheetData>
    <row r="1" spans="1:5" ht="20">
      <c r="A1" s="732" t="s">
        <v>87</v>
      </c>
      <c r="B1" s="732"/>
      <c r="C1" s="732"/>
      <c r="D1" s="732"/>
      <c r="E1" s="732"/>
    </row>
    <row r="2" spans="1:5" ht="18.5" customHeight="1">
      <c r="A2" s="733" t="s">
        <v>396</v>
      </c>
      <c r="B2" s="733"/>
      <c r="C2" s="733"/>
      <c r="D2" s="733"/>
      <c r="E2" s="733"/>
    </row>
    <row r="3" spans="1:5" ht="18.5" customHeight="1" thickBot="1">
      <c r="A3" s="630"/>
      <c r="B3" s="630"/>
      <c r="C3" s="630"/>
      <c r="D3" s="630"/>
      <c r="E3" s="630"/>
    </row>
    <row r="4" spans="1:5" ht="30" customHeight="1" thickBot="1">
      <c r="A4" s="630"/>
      <c r="B4" s="729" t="s">
        <v>490</v>
      </c>
      <c r="C4" s="730"/>
      <c r="D4" s="730"/>
      <c r="E4" s="731"/>
    </row>
    <row r="5" spans="1:5">
      <c r="B5" s="631" t="s">
        <v>491</v>
      </c>
      <c r="C5" s="632">
        <f>+Pastor!I24</f>
        <v>80745</v>
      </c>
      <c r="D5" s="727" t="s">
        <v>492</v>
      </c>
      <c r="E5" s="728"/>
    </row>
    <row r="6" spans="1:5" ht="16" thickBot="1">
      <c r="B6" s="634" t="s">
        <v>486</v>
      </c>
      <c r="C6" s="633">
        <f>+'New Year-Full Year'!P90</f>
        <v>14130</v>
      </c>
      <c r="D6" s="725" t="s">
        <v>485</v>
      </c>
      <c r="E6" s="726"/>
    </row>
    <row r="7" spans="1:5" ht="16" thickBot="1">
      <c r="A7" s="417"/>
      <c r="B7" s="413" t="s">
        <v>488</v>
      </c>
      <c r="C7" s="478">
        <f>+'New Year-Full Year'!P114</f>
        <v>18750</v>
      </c>
      <c r="D7" s="734" t="s">
        <v>484</v>
      </c>
      <c r="E7" s="735"/>
    </row>
    <row r="8" spans="1:5" ht="16" thickBot="1">
      <c r="B8" s="413" t="s">
        <v>489</v>
      </c>
      <c r="C8" s="478">
        <f>+'New Year-Full Year'!P124</f>
        <v>8843</v>
      </c>
      <c r="D8" s="734" t="s">
        <v>484</v>
      </c>
      <c r="E8" s="735"/>
    </row>
    <row r="9" spans="1:5" ht="18.5" customHeight="1" thickBot="1">
      <c r="A9" s="630"/>
      <c r="B9" s="630"/>
      <c r="C9" s="630"/>
      <c r="D9" s="630"/>
      <c r="E9" s="630"/>
    </row>
    <row r="10" spans="1:5" ht="30" customHeight="1" thickBot="1">
      <c r="A10" s="393"/>
      <c r="B10" s="411" t="s">
        <v>317</v>
      </c>
      <c r="C10" s="412" t="s">
        <v>319</v>
      </c>
      <c r="D10" s="393"/>
      <c r="E10" s="393"/>
    </row>
    <row r="11" spans="1:5" ht="18.5" customHeight="1">
      <c r="A11" s="393"/>
      <c r="B11" s="407" t="s">
        <v>487</v>
      </c>
      <c r="C11" s="408">
        <f>+'New Year-Full Year'!F125</f>
        <v>10</v>
      </c>
      <c r="D11" s="393"/>
      <c r="E11" s="393"/>
    </row>
    <row r="12" spans="1:5" ht="18.5" customHeight="1">
      <c r="A12" s="393"/>
      <c r="B12" s="407" t="s">
        <v>478</v>
      </c>
      <c r="C12" s="408">
        <f>+'New Year-Full Year'!F142</f>
        <v>17.34</v>
      </c>
      <c r="D12" s="393"/>
      <c r="E12" s="393"/>
    </row>
    <row r="13" spans="1:5" ht="18.5" customHeight="1">
      <c r="A13" s="393"/>
      <c r="B13" s="407" t="s">
        <v>479</v>
      </c>
      <c r="C13" s="408">
        <f>+'New Year-Full Year'!F144</f>
        <v>13.64</v>
      </c>
      <c r="D13" s="393"/>
      <c r="E13" s="393"/>
    </row>
    <row r="14" spans="1:5" ht="18.5" customHeight="1">
      <c r="A14" s="393"/>
      <c r="B14" s="407" t="s">
        <v>480</v>
      </c>
      <c r="C14" s="408">
        <f>+'New Year-Full Year'!F145</f>
        <v>11.57</v>
      </c>
      <c r="D14" s="393"/>
      <c r="E14" s="393"/>
    </row>
    <row r="15" spans="1:5" ht="18.5" customHeight="1">
      <c r="A15" s="393"/>
      <c r="B15" s="407" t="s">
        <v>481</v>
      </c>
      <c r="C15" s="408">
        <f>+'New Year-Full Year'!F146</f>
        <v>11.22</v>
      </c>
      <c r="D15" s="393"/>
      <c r="E15" s="393"/>
    </row>
    <row r="16" spans="1:5" ht="18.5" customHeight="1" thickBot="1">
      <c r="A16" s="393"/>
      <c r="B16" s="409" t="s">
        <v>482</v>
      </c>
      <c r="C16" s="410">
        <f>+'New Year-Full Year'!F150</f>
        <v>14.57</v>
      </c>
      <c r="D16" s="393"/>
      <c r="E16" s="393"/>
    </row>
    <row r="17" spans="1:7" ht="8" customHeight="1">
      <c r="A17" s="393"/>
      <c r="B17" s="393"/>
      <c r="C17" s="393"/>
      <c r="D17" s="393"/>
      <c r="E17" s="393"/>
    </row>
    <row r="18" spans="1:7" ht="18.5" customHeight="1" thickBot="1">
      <c r="A18" s="393"/>
      <c r="B18" s="384" t="s">
        <v>316</v>
      </c>
      <c r="C18" s="393"/>
      <c r="D18" s="393"/>
      <c r="E18" s="393"/>
    </row>
    <row r="19" spans="1:7" ht="16" thickBot="1">
      <c r="A19" s="386"/>
      <c r="B19" s="398" t="s">
        <v>321</v>
      </c>
      <c r="C19" s="414"/>
      <c r="D19" s="741" t="s">
        <v>320</v>
      </c>
      <c r="E19" s="742"/>
    </row>
    <row r="20" spans="1:7" ht="67" customHeight="1" thickBot="1">
      <c r="B20" s="413" t="s">
        <v>247</v>
      </c>
      <c r="C20" s="478">
        <f>+'Band and Other Music'!D13</f>
        <v>3060</v>
      </c>
      <c r="D20" s="734" t="s">
        <v>318</v>
      </c>
      <c r="E20" s="735"/>
    </row>
    <row r="21" spans="1:7" ht="33" customHeight="1" thickBot="1">
      <c r="B21" s="413" t="s">
        <v>109</v>
      </c>
      <c r="C21" s="478">
        <f>+'New Year-Full Year'!P129</f>
        <v>16236</v>
      </c>
      <c r="D21" s="734" t="s">
        <v>209</v>
      </c>
      <c r="E21" s="735"/>
    </row>
    <row r="22" spans="1:7" ht="33" customHeight="1" thickBot="1">
      <c r="B22" s="413" t="s">
        <v>483</v>
      </c>
      <c r="C22" s="478">
        <f>+'New Year-Full Year'!P135</f>
        <v>7634</v>
      </c>
      <c r="D22" s="734" t="s">
        <v>209</v>
      </c>
      <c r="E22" s="735"/>
    </row>
    <row r="23" spans="1:7" ht="16" thickBot="1">
      <c r="A23" s="394"/>
      <c r="B23" s="387"/>
      <c r="C23" s="415"/>
      <c r="D23" s="387"/>
    </row>
    <row r="24" spans="1:7" ht="16" thickBot="1">
      <c r="A24" s="388"/>
      <c r="B24" s="398" t="s">
        <v>278</v>
      </c>
      <c r="C24" s="414"/>
      <c r="D24" s="399"/>
      <c r="E24" s="400"/>
    </row>
    <row r="25" spans="1:7">
      <c r="A25" s="736"/>
      <c r="B25" s="395" t="s">
        <v>322</v>
      </c>
      <c r="C25" s="479">
        <f>+'Band and Other Music'!D24</f>
        <v>6</v>
      </c>
      <c r="D25" s="737" t="s">
        <v>397</v>
      </c>
      <c r="E25" s="738"/>
    </row>
    <row r="26" spans="1:7">
      <c r="A26" s="736"/>
      <c r="B26" s="395" t="s">
        <v>393</v>
      </c>
      <c r="C26" s="479">
        <f>+'Band and Other Music'!D25</f>
        <v>3</v>
      </c>
      <c r="D26" s="737"/>
      <c r="E26" s="738"/>
    </row>
    <row r="27" spans="1:7">
      <c r="A27" s="736"/>
      <c r="B27" s="395" t="s">
        <v>274</v>
      </c>
      <c r="C27" s="480">
        <f>+'Band and Other Music'!D26</f>
        <v>25</v>
      </c>
      <c r="D27" s="737"/>
      <c r="E27" s="738"/>
      <c r="G27" s="389"/>
    </row>
    <row r="28" spans="1:7" ht="16" thickBot="1">
      <c r="A28" s="736"/>
      <c r="B28" s="396" t="s">
        <v>398</v>
      </c>
      <c r="C28" s="481">
        <f>+'Band and Other Music'!D27</f>
        <v>30</v>
      </c>
      <c r="D28" s="739"/>
      <c r="E28" s="740"/>
    </row>
    <row r="29" spans="1:7" ht="16" thickBot="1">
      <c r="A29" s="388"/>
    </row>
    <row r="30" spans="1:7" ht="16" thickBot="1">
      <c r="A30" s="388"/>
      <c r="B30" s="398" t="s">
        <v>279</v>
      </c>
      <c r="C30" s="414"/>
      <c r="D30" s="399"/>
      <c r="E30" s="400"/>
    </row>
    <row r="31" spans="1:7">
      <c r="A31" s="736"/>
      <c r="B31" s="395" t="s">
        <v>323</v>
      </c>
      <c r="C31" s="479">
        <f>+'Band and Other Music'!D40</f>
        <v>1</v>
      </c>
      <c r="D31" s="737" t="s">
        <v>315</v>
      </c>
      <c r="E31" s="738"/>
    </row>
    <row r="32" spans="1:7" ht="16" thickBot="1">
      <c r="A32" s="736"/>
      <c r="B32" s="396" t="s">
        <v>293</v>
      </c>
      <c r="C32" s="481">
        <f>+'Band and Other Music'!D41</f>
        <v>25</v>
      </c>
      <c r="D32" s="739"/>
      <c r="E32" s="740"/>
    </row>
    <row r="33" spans="1:5" ht="16" thickBot="1">
      <c r="A33" s="388"/>
    </row>
    <row r="34" spans="1:5" ht="16" thickBot="1">
      <c r="A34" s="388"/>
      <c r="B34" s="398" t="s">
        <v>310</v>
      </c>
      <c r="C34" s="414"/>
      <c r="D34" s="399"/>
      <c r="E34" s="400"/>
    </row>
    <row r="35" spans="1:5">
      <c r="A35" s="736"/>
      <c r="B35" s="395" t="s">
        <v>324</v>
      </c>
      <c r="C35" s="479">
        <f>+'Band and Other Music'!D47</f>
        <v>3</v>
      </c>
      <c r="D35" s="388" t="s">
        <v>297</v>
      </c>
      <c r="E35" s="401"/>
    </row>
    <row r="36" spans="1:5" ht="16" thickBot="1">
      <c r="A36" s="736"/>
      <c r="B36" s="403" t="s">
        <v>298</v>
      </c>
      <c r="C36" s="482">
        <f>+'Band and Other Music'!D48</f>
        <v>50</v>
      </c>
      <c r="D36" s="390"/>
      <c r="E36" s="404"/>
    </row>
    <row r="37" spans="1:5" ht="15" customHeight="1">
      <c r="A37" s="736"/>
      <c r="B37" s="405" t="s">
        <v>325</v>
      </c>
      <c r="C37" s="483">
        <f>+'Band and Other Music'!D50</f>
        <v>2</v>
      </c>
      <c r="D37" s="391" t="s">
        <v>297</v>
      </c>
      <c r="E37" s="406"/>
    </row>
    <row r="38" spans="1:5" ht="15" customHeight="1" thickBot="1">
      <c r="A38" s="736"/>
      <c r="B38" s="396" t="s">
        <v>303</v>
      </c>
      <c r="C38" s="481">
        <f>+'Band and Other Music'!D51</f>
        <v>25</v>
      </c>
      <c r="D38" s="397"/>
      <c r="E38" s="402"/>
    </row>
    <row r="39" spans="1:5" ht="16" thickBot="1">
      <c r="A39" s="392"/>
      <c r="B39" s="388"/>
      <c r="C39" s="416"/>
      <c r="D39" s="388"/>
      <c r="E39" s="388"/>
    </row>
    <row r="40" spans="1:5" ht="16" thickBot="1">
      <c r="A40" s="388"/>
      <c r="B40" s="398" t="s">
        <v>249</v>
      </c>
      <c r="C40" s="414"/>
      <c r="D40" s="399"/>
      <c r="E40" s="400"/>
    </row>
    <row r="41" spans="1:5">
      <c r="A41" s="736"/>
      <c r="B41" s="395" t="s">
        <v>326</v>
      </c>
      <c r="C41" s="479">
        <f>+'Band and Other Music'!D58</f>
        <v>1</v>
      </c>
      <c r="D41" s="388"/>
      <c r="E41" s="401"/>
    </row>
    <row r="42" spans="1:5" ht="16" thickBot="1">
      <c r="A42" s="736"/>
      <c r="B42" s="396" t="s">
        <v>298</v>
      </c>
      <c r="C42" s="481">
        <f>+'Band and Other Music'!D59</f>
        <v>25</v>
      </c>
      <c r="D42" s="397"/>
      <c r="E42" s="402"/>
    </row>
    <row r="43" spans="1:5">
      <c r="A43" s="388"/>
      <c r="C43" s="418"/>
    </row>
    <row r="44" spans="1:5">
      <c r="A44" s="388"/>
    </row>
    <row r="45" spans="1:5">
      <c r="A45" s="388"/>
    </row>
    <row r="46" spans="1:5">
      <c r="A46" s="388"/>
    </row>
    <row r="47" spans="1:5">
      <c r="A47" s="388"/>
    </row>
    <row r="48" spans="1:5">
      <c r="A48" s="388"/>
    </row>
    <row r="49" spans="1:1">
      <c r="A49" s="388"/>
    </row>
    <row r="50" spans="1:1">
      <c r="A50" s="388"/>
    </row>
    <row r="51" spans="1:1">
      <c r="A51" s="388"/>
    </row>
    <row r="52" spans="1:1">
      <c r="A52" s="388"/>
    </row>
    <row r="53" spans="1:1">
      <c r="A53" s="388"/>
    </row>
    <row r="54" spans="1:1">
      <c r="A54" s="388"/>
    </row>
    <row r="55" spans="1:1">
      <c r="A55" s="388"/>
    </row>
    <row r="56" spans="1:1">
      <c r="A56" s="388"/>
    </row>
    <row r="57" spans="1:1">
      <c r="A57" s="388"/>
    </row>
    <row r="58" spans="1:1">
      <c r="A58" s="388"/>
    </row>
    <row r="59" spans="1:1">
      <c r="A59" s="388"/>
    </row>
  </sheetData>
  <mergeCells count="18">
    <mergeCell ref="D8:E8"/>
    <mergeCell ref="D7:E7"/>
    <mergeCell ref="D19:E19"/>
    <mergeCell ref="A31:A32"/>
    <mergeCell ref="A35:A36"/>
    <mergeCell ref="A37:A38"/>
    <mergeCell ref="D21:E21"/>
    <mergeCell ref="D22:E22"/>
    <mergeCell ref="D20:E20"/>
    <mergeCell ref="A25:A28"/>
    <mergeCell ref="A41:A42"/>
    <mergeCell ref="D25:E28"/>
    <mergeCell ref="D31:E32"/>
    <mergeCell ref="D6:E6"/>
    <mergeCell ref="D5:E5"/>
    <mergeCell ref="B4:E4"/>
    <mergeCell ref="A1:E1"/>
    <mergeCell ref="A2:E2"/>
  </mergeCells>
  <printOptions horizontalCentered="1"/>
  <pageMargins left="0.2" right="0.2" top="0.25" bottom="0.25" header="0.3" footer="0.3"/>
  <pageSetup scale="85" orientation="portrait" horizontalDpi="4294967293" verticalDpi="0" r:id="rId1"/>
</worksheet>
</file>

<file path=xl/worksheets/sheet9.xml><?xml version="1.0" encoding="utf-8"?>
<worksheet xmlns="http://schemas.openxmlformats.org/spreadsheetml/2006/main" xmlns:r="http://schemas.openxmlformats.org/officeDocument/2006/relationships">
  <sheetPr>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E7" sqref="E7"/>
    </sheetView>
  </sheetViews>
  <sheetFormatPr defaultColWidth="9.08984375" defaultRowHeight="14.5"/>
  <cols>
    <col min="1" max="1" width="4.453125" style="43" hidden="1" customWidth="1"/>
    <col min="2" max="2" width="4.36328125" style="2" customWidth="1"/>
    <col min="3" max="3" width="9.08984375" style="1"/>
    <col min="4" max="4" width="24.81640625" style="51" customWidth="1"/>
    <col min="5" max="5" width="11.08984375" style="1" customWidth="1"/>
    <col min="6" max="9" width="14.6328125" style="1" customWidth="1"/>
    <col min="10" max="16384" width="9.08984375" style="1"/>
  </cols>
  <sheetData>
    <row r="1" spans="1:9" ht="41.25" customHeight="1">
      <c r="B1" s="425" t="s">
        <v>87</v>
      </c>
      <c r="C1" s="423"/>
      <c r="D1" s="423"/>
      <c r="E1" s="423"/>
    </row>
    <row r="2" spans="1:9" ht="23.25" customHeight="1">
      <c r="E2" s="424" t="s">
        <v>86</v>
      </c>
    </row>
    <row r="3" spans="1:9">
      <c r="E3" s="743" t="s">
        <v>203</v>
      </c>
      <c r="F3" s="745" t="s">
        <v>203</v>
      </c>
      <c r="G3" s="746"/>
      <c r="H3" s="746"/>
      <c r="I3" s="747"/>
    </row>
    <row r="4" spans="1:9" s="2" customFormat="1">
      <c r="A4" s="44"/>
      <c r="D4" s="15"/>
      <c r="E4" s="744"/>
      <c r="F4" s="419" t="s">
        <v>328</v>
      </c>
      <c r="G4" s="420" t="s">
        <v>329</v>
      </c>
      <c r="H4" s="420" t="s">
        <v>330</v>
      </c>
      <c r="I4" s="420" t="s">
        <v>331</v>
      </c>
    </row>
    <row r="5" spans="1:9" ht="6" customHeight="1">
      <c r="A5" s="43">
        <v>18</v>
      </c>
    </row>
    <row r="6" spans="1:9" ht="18.5">
      <c r="A6" s="43">
        <v>20</v>
      </c>
      <c r="B6" s="7" t="s">
        <v>92</v>
      </c>
    </row>
    <row r="7" spans="1:9" s="2" customFormat="1">
      <c r="A7" s="43">
        <v>26</v>
      </c>
      <c r="B7" s="12"/>
      <c r="C7" s="13" t="s">
        <v>93</v>
      </c>
      <c r="D7" s="13"/>
      <c r="E7" s="12">
        <v>51330</v>
      </c>
      <c r="H7" s="1">
        <v>51330</v>
      </c>
      <c r="I7" s="1"/>
    </row>
    <row r="8" spans="1:9" s="2" customFormat="1" ht="6.75" customHeight="1">
      <c r="A8" s="43">
        <v>27</v>
      </c>
      <c r="B8" s="15"/>
      <c r="C8" s="16"/>
      <c r="D8" s="15"/>
      <c r="E8" s="15"/>
    </row>
    <row r="9" spans="1:9" s="2" customFormat="1" ht="18.5">
      <c r="A9" s="43">
        <v>28</v>
      </c>
      <c r="B9" s="19" t="s">
        <v>62</v>
      </c>
      <c r="C9" s="16"/>
      <c r="D9" s="15"/>
      <c r="E9" s="15"/>
    </row>
    <row r="10" spans="1:9">
      <c r="A10" s="43">
        <v>29</v>
      </c>
      <c r="B10" s="2" t="s">
        <v>16</v>
      </c>
    </row>
    <row r="11" spans="1:9">
      <c r="A11" s="43">
        <v>30</v>
      </c>
      <c r="C11" s="256" t="s">
        <v>84</v>
      </c>
      <c r="D11" s="268"/>
      <c r="E11" s="253">
        <v>2000</v>
      </c>
      <c r="G11" s="1">
        <v>2000</v>
      </c>
    </row>
    <row r="12" spans="1:9">
      <c r="A12" s="43">
        <v>31</v>
      </c>
      <c r="C12" s="261" t="s">
        <v>17</v>
      </c>
      <c r="D12" s="271"/>
      <c r="E12" s="258">
        <v>1000</v>
      </c>
      <c r="G12" s="1">
        <v>1000</v>
      </c>
    </row>
    <row r="13" spans="1:9">
      <c r="A13" s="43">
        <v>32</v>
      </c>
      <c r="C13" s="261" t="s">
        <v>196</v>
      </c>
      <c r="D13" s="271"/>
      <c r="E13" s="258">
        <v>1000</v>
      </c>
      <c r="G13" s="1">
        <v>1000</v>
      </c>
    </row>
    <row r="14" spans="1:9">
      <c r="A14" s="43">
        <v>33</v>
      </c>
      <c r="C14" s="261" t="s">
        <v>18</v>
      </c>
      <c r="D14" s="271"/>
      <c r="E14" s="258">
        <v>300</v>
      </c>
      <c r="G14" s="1">
        <v>300</v>
      </c>
    </row>
    <row r="15" spans="1:9" ht="14.5" customHeight="1">
      <c r="A15" s="43">
        <v>34</v>
      </c>
      <c r="C15" s="261" t="s">
        <v>19</v>
      </c>
      <c r="D15" s="271"/>
      <c r="E15" s="258">
        <v>200</v>
      </c>
      <c r="G15" s="1">
        <v>200</v>
      </c>
    </row>
    <row r="16" spans="1:9">
      <c r="C16" s="261" t="s">
        <v>108</v>
      </c>
      <c r="D16" s="271"/>
      <c r="E16" s="258">
        <v>750</v>
      </c>
      <c r="G16" s="1">
        <v>750</v>
      </c>
    </row>
    <row r="17" spans="1:7" ht="14.4" customHeight="1">
      <c r="A17" s="43">
        <v>35</v>
      </c>
      <c r="C17" s="266" t="s">
        <v>88</v>
      </c>
      <c r="D17" s="274"/>
      <c r="E17" s="263">
        <v>200</v>
      </c>
      <c r="G17" s="1">
        <v>200</v>
      </c>
    </row>
    <row r="18" spans="1:7" s="2" customFormat="1">
      <c r="A18" s="43">
        <v>36</v>
      </c>
      <c r="B18" s="37" t="s">
        <v>20</v>
      </c>
      <c r="C18" s="37"/>
      <c r="D18" s="37"/>
      <c r="E18" s="37">
        <v>5450</v>
      </c>
    </row>
    <row r="19" spans="1:7" ht="6" customHeight="1">
      <c r="A19" s="43">
        <v>37</v>
      </c>
    </row>
    <row r="20" spans="1:7">
      <c r="A20" s="43">
        <v>40</v>
      </c>
      <c r="B20" s="2" t="s">
        <v>153</v>
      </c>
    </row>
    <row r="21" spans="1:7">
      <c r="A21" s="43">
        <v>41</v>
      </c>
      <c r="C21" s="256" t="s">
        <v>21</v>
      </c>
      <c r="D21" s="268"/>
      <c r="E21" s="281">
        <v>4000</v>
      </c>
      <c r="F21" s="1">
        <v>4000</v>
      </c>
    </row>
    <row r="22" spans="1:7">
      <c r="C22" s="261" t="s">
        <v>158</v>
      </c>
      <c r="D22" s="271"/>
      <c r="E22" s="258">
        <v>0</v>
      </c>
      <c r="F22" s="1">
        <v>0</v>
      </c>
    </row>
    <row r="23" spans="1:7">
      <c r="A23" s="43">
        <v>43</v>
      </c>
      <c r="C23" s="261" t="s">
        <v>22</v>
      </c>
      <c r="D23" s="271"/>
      <c r="E23" s="258">
        <v>100</v>
      </c>
      <c r="F23" s="1">
        <v>100</v>
      </c>
    </row>
    <row r="24" spans="1:7">
      <c r="A24" s="43">
        <v>44</v>
      </c>
      <c r="C24" s="266" t="s">
        <v>23</v>
      </c>
      <c r="D24" s="274"/>
      <c r="E24" s="263">
        <v>200</v>
      </c>
      <c r="F24" s="1">
        <v>200</v>
      </c>
    </row>
    <row r="25" spans="1:7" s="2" customFormat="1">
      <c r="A25" s="43">
        <v>45</v>
      </c>
      <c r="B25" s="37" t="s">
        <v>154</v>
      </c>
      <c r="C25" s="37"/>
      <c r="D25" s="37"/>
      <c r="E25" s="37">
        <v>4300</v>
      </c>
    </row>
    <row r="26" spans="1:7" ht="6.75" customHeight="1">
      <c r="A26" s="43">
        <v>46</v>
      </c>
      <c r="D26" s="1"/>
    </row>
    <row r="27" spans="1:7" s="2" customFormat="1">
      <c r="A27" s="43">
        <v>51</v>
      </c>
      <c r="B27" s="37" t="s">
        <v>24</v>
      </c>
      <c r="C27" s="37"/>
      <c r="D27" s="37"/>
      <c r="E27" s="49">
        <v>12800</v>
      </c>
      <c r="G27" s="1">
        <v>12800</v>
      </c>
    </row>
    <row r="28" spans="1:7" ht="6.75" customHeight="1">
      <c r="A28" s="43">
        <v>52</v>
      </c>
    </row>
    <row r="29" spans="1:7">
      <c r="A29" s="43">
        <v>53</v>
      </c>
      <c r="B29" s="2" t="s">
        <v>94</v>
      </c>
    </row>
    <row r="30" spans="1:7">
      <c r="A30" s="43">
        <v>54</v>
      </c>
      <c r="C30" s="256" t="s">
        <v>96</v>
      </c>
      <c r="D30" s="268"/>
      <c r="E30" s="253">
        <v>400</v>
      </c>
      <c r="F30" s="1">
        <v>400</v>
      </c>
    </row>
    <row r="31" spans="1:7">
      <c r="A31" s="43">
        <v>55</v>
      </c>
      <c r="C31" s="266" t="s">
        <v>91</v>
      </c>
      <c r="D31" s="274"/>
      <c r="E31" s="263">
        <v>150</v>
      </c>
      <c r="F31" s="1">
        <v>150</v>
      </c>
    </row>
    <row r="32" spans="1:7" s="2" customFormat="1">
      <c r="A32" s="43">
        <v>56</v>
      </c>
      <c r="B32" s="37" t="s">
        <v>90</v>
      </c>
      <c r="C32" s="37"/>
      <c r="D32" s="37"/>
      <c r="E32" s="37">
        <v>550</v>
      </c>
    </row>
    <row r="33" spans="1:8" ht="5.25" customHeight="1">
      <c r="A33" s="43">
        <v>57</v>
      </c>
    </row>
    <row r="34" spans="1:8">
      <c r="A34" s="43">
        <v>58</v>
      </c>
      <c r="B34" s="37" t="s">
        <v>25</v>
      </c>
      <c r="C34" s="22"/>
      <c r="D34" s="22"/>
      <c r="E34" s="54">
        <v>200</v>
      </c>
      <c r="H34" s="1">
        <v>200</v>
      </c>
    </row>
    <row r="35" spans="1:8" ht="6" customHeight="1">
      <c r="A35" s="43">
        <v>59</v>
      </c>
    </row>
    <row r="36" spans="1:8">
      <c r="A36" s="43">
        <v>60</v>
      </c>
      <c r="B36" s="2" t="s">
        <v>26</v>
      </c>
    </row>
    <row r="37" spans="1:8">
      <c r="A37" s="43">
        <v>61</v>
      </c>
      <c r="C37" s="256" t="s">
        <v>27</v>
      </c>
      <c r="D37" s="268"/>
      <c r="E37" s="281">
        <v>200</v>
      </c>
      <c r="F37" s="1">
        <v>200</v>
      </c>
    </row>
    <row r="38" spans="1:8">
      <c r="A38" s="43">
        <v>62</v>
      </c>
      <c r="C38" s="261" t="s">
        <v>28</v>
      </c>
      <c r="D38" s="271"/>
      <c r="E38" s="279">
        <v>800</v>
      </c>
      <c r="F38" s="1">
        <v>800</v>
      </c>
    </row>
    <row r="39" spans="1:8">
      <c r="A39" s="43">
        <v>63</v>
      </c>
      <c r="C39" s="261" t="s">
        <v>29</v>
      </c>
      <c r="D39" s="271"/>
      <c r="E39" s="279">
        <v>1000</v>
      </c>
      <c r="H39" s="1">
        <v>1000</v>
      </c>
    </row>
    <row r="40" spans="1:8">
      <c r="A40" s="43">
        <v>64</v>
      </c>
      <c r="C40" s="261" t="s">
        <v>30</v>
      </c>
      <c r="D40" s="271"/>
      <c r="E40" s="279">
        <v>3000</v>
      </c>
      <c r="H40" s="1">
        <v>3000</v>
      </c>
    </row>
    <row r="41" spans="1:8">
      <c r="C41" s="261" t="s">
        <v>112</v>
      </c>
      <c r="D41" s="271"/>
      <c r="E41" s="279">
        <v>200</v>
      </c>
      <c r="F41" s="1">
        <v>200</v>
      </c>
    </row>
    <row r="42" spans="1:8">
      <c r="C42" s="261" t="s">
        <v>189</v>
      </c>
      <c r="D42" s="271"/>
      <c r="E42" s="279">
        <v>0</v>
      </c>
      <c r="F42" s="1">
        <v>0</v>
      </c>
    </row>
    <row r="43" spans="1:8">
      <c r="A43" s="43">
        <v>65</v>
      </c>
      <c r="C43" s="266" t="s">
        <v>117</v>
      </c>
      <c r="D43" s="274"/>
      <c r="E43" s="280">
        <v>1575</v>
      </c>
      <c r="F43" s="1">
        <v>1575</v>
      </c>
    </row>
    <row r="44" spans="1:8" s="2" customFormat="1">
      <c r="A44" s="43">
        <v>66</v>
      </c>
      <c r="B44" s="37" t="s">
        <v>31</v>
      </c>
      <c r="C44" s="37"/>
      <c r="D44" s="37"/>
      <c r="E44" s="37">
        <v>6775</v>
      </c>
    </row>
    <row r="45" spans="1:8" ht="6" customHeight="1">
      <c r="A45" s="43">
        <v>67</v>
      </c>
    </row>
    <row r="46" spans="1:8">
      <c r="A46" s="43">
        <v>68</v>
      </c>
      <c r="B46" s="2" t="s">
        <v>32</v>
      </c>
    </row>
    <row r="47" spans="1:8" ht="14.4" customHeight="1">
      <c r="A47" s="43">
        <v>69</v>
      </c>
      <c r="C47" s="256" t="s">
        <v>33</v>
      </c>
      <c r="D47" s="268"/>
      <c r="E47" s="281">
        <v>3500</v>
      </c>
      <c r="F47" s="1">
        <v>3500</v>
      </c>
    </row>
    <row r="48" spans="1:8">
      <c r="A48" s="43">
        <v>70</v>
      </c>
      <c r="C48" s="261" t="s">
        <v>34</v>
      </c>
      <c r="D48" s="271"/>
      <c r="E48" s="258">
        <v>3250</v>
      </c>
      <c r="F48" s="1">
        <v>3250</v>
      </c>
    </row>
    <row r="49" spans="1:6" ht="14.5" customHeight="1">
      <c r="A49" s="43">
        <v>73</v>
      </c>
      <c r="C49" s="261" t="s">
        <v>35</v>
      </c>
      <c r="D49" s="271"/>
      <c r="E49" s="279">
        <v>13000</v>
      </c>
      <c r="F49" s="1">
        <v>13000</v>
      </c>
    </row>
    <row r="50" spans="1:6">
      <c r="A50" s="43">
        <v>74</v>
      </c>
      <c r="C50" s="261" t="s">
        <v>36</v>
      </c>
      <c r="D50" s="271"/>
      <c r="E50" s="279">
        <v>1000</v>
      </c>
      <c r="F50" s="1">
        <v>1000</v>
      </c>
    </row>
    <row r="51" spans="1:6">
      <c r="A51" s="43">
        <v>75</v>
      </c>
      <c r="C51" s="266" t="s">
        <v>37</v>
      </c>
      <c r="D51" s="274"/>
      <c r="E51" s="280">
        <v>1700</v>
      </c>
      <c r="F51" s="1">
        <v>1700</v>
      </c>
    </row>
    <row r="52" spans="1:6" ht="14.5" customHeight="1">
      <c r="A52" s="43">
        <v>73</v>
      </c>
      <c r="C52" s="261" t="s">
        <v>327</v>
      </c>
      <c r="D52" s="271"/>
      <c r="E52" s="279">
        <v>0</v>
      </c>
      <c r="F52" s="1">
        <v>0</v>
      </c>
    </row>
    <row r="53" spans="1:6" s="2" customFormat="1">
      <c r="A53" s="43">
        <v>76</v>
      </c>
      <c r="B53" s="37" t="s">
        <v>39</v>
      </c>
      <c r="C53" s="37"/>
      <c r="D53" s="37"/>
      <c r="E53" s="37">
        <v>22450</v>
      </c>
    </row>
    <row r="54" spans="1:6">
      <c r="A54" s="43">
        <v>77</v>
      </c>
      <c r="B54" s="37" t="s">
        <v>89</v>
      </c>
      <c r="C54" s="23"/>
      <c r="D54" s="23"/>
      <c r="E54" s="37">
        <v>52525</v>
      </c>
    </row>
    <row r="55" spans="1:6" ht="8.25" customHeight="1">
      <c r="A55" s="43">
        <v>78</v>
      </c>
    </row>
    <row r="56" spans="1:6" ht="30" customHeight="1">
      <c r="A56" s="43">
        <v>79</v>
      </c>
      <c r="B56" s="7" t="s">
        <v>38</v>
      </c>
    </row>
    <row r="57" spans="1:6" ht="15" customHeight="1">
      <c r="A57" s="43">
        <v>80</v>
      </c>
      <c r="B57" s="2" t="s">
        <v>155</v>
      </c>
      <c r="D57" s="51" t="s">
        <v>243</v>
      </c>
    </row>
    <row r="58" spans="1:6" ht="14.5" customHeight="1">
      <c r="A58" s="43">
        <v>81</v>
      </c>
      <c r="C58" s="256" t="s">
        <v>184</v>
      </c>
      <c r="D58" s="268"/>
      <c r="E58" s="287">
        <v>72737</v>
      </c>
    </row>
    <row r="59" spans="1:6">
      <c r="A59" s="43">
        <v>82</v>
      </c>
      <c r="C59" s="261" t="s">
        <v>40</v>
      </c>
      <c r="D59" s="271"/>
      <c r="E59" s="295">
        <v>1500</v>
      </c>
    </row>
    <row r="60" spans="1:6" ht="14.5" customHeight="1">
      <c r="C60" s="261" t="s">
        <v>105</v>
      </c>
      <c r="D60" s="271"/>
      <c r="E60" s="295">
        <v>5564.3805000000002</v>
      </c>
    </row>
    <row r="61" spans="1:6" ht="14" customHeight="1">
      <c r="C61" s="261" t="s">
        <v>175</v>
      </c>
      <c r="D61" s="271"/>
      <c r="E61" s="295">
        <v>16110</v>
      </c>
    </row>
    <row r="62" spans="1:6" ht="14.4" customHeight="1">
      <c r="A62" s="43">
        <v>83</v>
      </c>
      <c r="C62" s="261" t="s">
        <v>176</v>
      </c>
      <c r="D62" s="271"/>
      <c r="E62" s="295">
        <v>2662</v>
      </c>
    </row>
    <row r="63" spans="1:6">
      <c r="C63" s="261" t="s">
        <v>107</v>
      </c>
      <c r="D63" s="271"/>
      <c r="E63" s="295">
        <v>600</v>
      </c>
    </row>
    <row r="64" spans="1:6">
      <c r="C64" s="261" t="s">
        <v>232</v>
      </c>
      <c r="D64" s="271"/>
      <c r="E64" s="295">
        <v>480</v>
      </c>
    </row>
    <row r="65" spans="1:8">
      <c r="A65" s="43">
        <v>85</v>
      </c>
      <c r="C65" s="266" t="s">
        <v>41</v>
      </c>
      <c r="D65" s="274"/>
      <c r="E65" s="309">
        <v>1000</v>
      </c>
      <c r="F65" s="421">
        <v>0.4</v>
      </c>
      <c r="G65" s="421">
        <v>0.2</v>
      </c>
      <c r="H65" s="421">
        <v>0.4</v>
      </c>
    </row>
    <row r="66" spans="1:8" s="2" customFormat="1">
      <c r="A66" s="43">
        <v>86</v>
      </c>
      <c r="B66" s="24" t="s">
        <v>156</v>
      </c>
      <c r="C66" s="24"/>
      <c r="D66" s="24"/>
      <c r="E66" s="24">
        <v>100653.3805</v>
      </c>
      <c r="F66" s="2">
        <v>40261.352200000001</v>
      </c>
      <c r="G66" s="2">
        <v>20130.676100000001</v>
      </c>
      <c r="H66" s="2">
        <v>40261.352200000001</v>
      </c>
    </row>
    <row r="67" spans="1:8" ht="6.75" customHeight="1">
      <c r="A67" s="43">
        <v>87</v>
      </c>
    </row>
    <row r="68" spans="1:8">
      <c r="A68" s="43">
        <v>88</v>
      </c>
      <c r="B68" s="2" t="s">
        <v>194</v>
      </c>
      <c r="E68" s="39"/>
    </row>
    <row r="69" spans="1:8">
      <c r="A69" s="43">
        <v>89</v>
      </c>
      <c r="C69" s="256" t="s">
        <v>42</v>
      </c>
      <c r="D69" s="268"/>
      <c r="E69" s="281">
        <v>45000</v>
      </c>
    </row>
    <row r="70" spans="1:8">
      <c r="C70" s="261" t="s">
        <v>41</v>
      </c>
      <c r="D70" s="271"/>
      <c r="E70" s="279">
        <v>750</v>
      </c>
    </row>
    <row r="71" spans="1:8">
      <c r="C71" s="261" t="s">
        <v>43</v>
      </c>
      <c r="D71" s="271"/>
      <c r="E71" s="279">
        <v>1500</v>
      </c>
    </row>
    <row r="72" spans="1:8">
      <c r="C72" s="261" t="s">
        <v>232</v>
      </c>
      <c r="D72" s="271"/>
      <c r="E72" s="279">
        <v>480</v>
      </c>
    </row>
    <row r="73" spans="1:8">
      <c r="C73" s="261" t="s">
        <v>107</v>
      </c>
      <c r="D73" s="271"/>
      <c r="E73" s="279">
        <v>350</v>
      </c>
    </row>
    <row r="74" spans="1:8">
      <c r="A74" s="43">
        <v>90</v>
      </c>
      <c r="C74" s="266" t="s">
        <v>240</v>
      </c>
      <c r="D74" s="274"/>
      <c r="E74" s="280">
        <v>2000</v>
      </c>
      <c r="F74" s="421">
        <v>0.4</v>
      </c>
      <c r="G74" s="421">
        <v>0.4</v>
      </c>
      <c r="H74" s="421">
        <v>0.2</v>
      </c>
    </row>
    <row r="75" spans="1:8" s="2" customFormat="1">
      <c r="A75" s="43">
        <v>91</v>
      </c>
      <c r="B75" s="24" t="s">
        <v>195</v>
      </c>
      <c r="C75" s="24"/>
      <c r="D75" s="24"/>
      <c r="E75" s="24">
        <v>50080</v>
      </c>
      <c r="F75" s="2">
        <v>20032</v>
      </c>
      <c r="G75" s="2">
        <v>20032</v>
      </c>
      <c r="H75" s="2">
        <v>10016</v>
      </c>
    </row>
    <row r="76" spans="1:8" ht="4.5" customHeight="1">
      <c r="A76" s="43">
        <v>92</v>
      </c>
    </row>
    <row r="77" spans="1:8" ht="4.5" customHeight="1"/>
    <row r="78" spans="1:8">
      <c r="A78" s="43">
        <v>93</v>
      </c>
      <c r="B78" s="2" t="s">
        <v>167</v>
      </c>
    </row>
    <row r="79" spans="1:8">
      <c r="A79" s="43">
        <v>94</v>
      </c>
      <c r="C79" s="256" t="s">
        <v>42</v>
      </c>
      <c r="D79" s="268"/>
      <c r="E79" s="287">
        <v>20808</v>
      </c>
      <c r="G79" s="1">
        <v>20808</v>
      </c>
    </row>
    <row r="80" spans="1:8">
      <c r="A80" s="43">
        <v>95</v>
      </c>
      <c r="C80" s="266" t="s">
        <v>44</v>
      </c>
      <c r="D80" s="274"/>
      <c r="E80" s="309">
        <v>800</v>
      </c>
      <c r="G80" s="1">
        <v>800</v>
      </c>
    </row>
    <row r="81" spans="1:7" s="2" customFormat="1">
      <c r="A81" s="43">
        <v>96</v>
      </c>
      <c r="B81" s="24" t="s">
        <v>45</v>
      </c>
      <c r="C81" s="24"/>
      <c r="D81" s="24"/>
      <c r="E81" s="24">
        <v>21608</v>
      </c>
    </row>
    <row r="82" spans="1:7" ht="6" customHeight="1">
      <c r="A82" s="43">
        <v>97</v>
      </c>
    </row>
    <row r="83" spans="1:7" ht="6" customHeight="1">
      <c r="A83" s="43">
        <v>106</v>
      </c>
    </row>
    <row r="84" spans="1:7">
      <c r="A84" s="43">
        <v>107</v>
      </c>
      <c r="B84" s="2" t="s">
        <v>46</v>
      </c>
    </row>
    <row r="85" spans="1:7">
      <c r="A85" s="43">
        <v>108</v>
      </c>
      <c r="C85" s="256" t="s">
        <v>109</v>
      </c>
      <c r="D85" s="268"/>
      <c r="E85" s="287">
        <v>15918</v>
      </c>
      <c r="F85" s="1">
        <v>15918</v>
      </c>
    </row>
    <row r="86" spans="1:7">
      <c r="C86" s="256" t="s">
        <v>247</v>
      </c>
      <c r="D86" s="268"/>
      <c r="E86" s="287">
        <v>3000</v>
      </c>
      <c r="F86" s="1">
        <v>3000</v>
      </c>
    </row>
    <row r="87" spans="1:7">
      <c r="A87" s="43">
        <v>109</v>
      </c>
      <c r="C87" s="261" t="s">
        <v>47</v>
      </c>
      <c r="D87" s="271"/>
      <c r="E87" s="258">
        <v>500</v>
      </c>
      <c r="F87" s="1">
        <v>500</v>
      </c>
    </row>
    <row r="88" spans="1:7">
      <c r="A88" s="43">
        <v>110</v>
      </c>
      <c r="C88" s="261" t="s">
        <v>48</v>
      </c>
      <c r="D88" s="271"/>
      <c r="E88" s="295">
        <v>13290</v>
      </c>
      <c r="F88" s="1">
        <v>13290</v>
      </c>
    </row>
    <row r="89" spans="1:7">
      <c r="A89" s="43">
        <v>110</v>
      </c>
      <c r="C89" s="654" t="s">
        <v>314</v>
      </c>
      <c r="D89" s="654"/>
      <c r="E89" s="295">
        <v>3000</v>
      </c>
      <c r="F89" s="1">
        <v>3000</v>
      </c>
    </row>
    <row r="90" spans="1:7">
      <c r="C90" s="261" t="s">
        <v>309</v>
      </c>
      <c r="D90" s="271"/>
      <c r="E90" s="295">
        <v>3350</v>
      </c>
      <c r="F90" s="1">
        <v>3350</v>
      </c>
    </row>
    <row r="91" spans="1:7">
      <c r="A91" s="43">
        <v>111</v>
      </c>
      <c r="C91" s="261" t="s">
        <v>49</v>
      </c>
      <c r="D91" s="271"/>
      <c r="E91" s="295">
        <v>7484</v>
      </c>
      <c r="F91" s="1">
        <v>7484</v>
      </c>
    </row>
    <row r="92" spans="1:7">
      <c r="A92" s="43">
        <v>112</v>
      </c>
      <c r="C92" s="261" t="s">
        <v>50</v>
      </c>
      <c r="D92" s="271"/>
      <c r="E92" s="295">
        <v>1785</v>
      </c>
      <c r="G92" s="1">
        <v>1785</v>
      </c>
    </row>
    <row r="93" spans="1:7">
      <c r="C93" s="261" t="s">
        <v>106</v>
      </c>
      <c r="D93" s="271"/>
      <c r="E93" s="279">
        <v>0</v>
      </c>
      <c r="G93" s="1">
        <v>0</v>
      </c>
    </row>
    <row r="94" spans="1:7">
      <c r="A94" s="43">
        <v>113</v>
      </c>
      <c r="C94" s="266" t="s">
        <v>110</v>
      </c>
      <c r="D94" s="274"/>
      <c r="E94" s="309">
        <v>2759</v>
      </c>
      <c r="F94" s="1">
        <v>2759</v>
      </c>
    </row>
    <row r="95" spans="1:7" s="2" customFormat="1">
      <c r="A95" s="43">
        <v>114</v>
      </c>
      <c r="B95" s="24" t="s">
        <v>51</v>
      </c>
      <c r="C95" s="24"/>
      <c r="D95" s="24"/>
      <c r="E95" s="24">
        <v>51086</v>
      </c>
    </row>
    <row r="96" spans="1:7" ht="6.75" customHeight="1">
      <c r="A96" s="43">
        <v>115</v>
      </c>
    </row>
    <row r="97" spans="1:9" ht="14.25" customHeight="1">
      <c r="A97" s="43">
        <v>116</v>
      </c>
      <c r="B97" s="2" t="s">
        <v>52</v>
      </c>
      <c r="E97" s="26"/>
      <c r="F97" s="421">
        <v>0.33300000000000002</v>
      </c>
      <c r="G97" s="421">
        <v>0.33300000000000002</v>
      </c>
      <c r="H97" s="421">
        <v>0.33400000000000002</v>
      </c>
    </row>
    <row r="98" spans="1:9">
      <c r="C98" s="261" t="s">
        <v>190</v>
      </c>
      <c r="D98" s="271"/>
      <c r="E98" s="287">
        <v>35360</v>
      </c>
      <c r="F98" s="1">
        <v>11774.880000000001</v>
      </c>
      <c r="G98" s="1">
        <v>11774.880000000001</v>
      </c>
      <c r="H98" s="1">
        <v>11810.24</v>
      </c>
    </row>
    <row r="99" spans="1:9">
      <c r="A99" s="43">
        <v>122</v>
      </c>
      <c r="C99" s="261" t="s">
        <v>192</v>
      </c>
      <c r="D99" s="271"/>
      <c r="E99" s="279">
        <v>1000</v>
      </c>
      <c r="F99" s="1">
        <v>333</v>
      </c>
      <c r="G99" s="1">
        <v>333</v>
      </c>
      <c r="H99" s="1">
        <v>334</v>
      </c>
    </row>
    <row r="100" spans="1:9">
      <c r="A100" s="43">
        <v>118</v>
      </c>
      <c r="C100" s="261" t="s">
        <v>54</v>
      </c>
      <c r="D100" s="271"/>
      <c r="E100" s="295">
        <v>33465</v>
      </c>
      <c r="I100" s="1">
        <v>33465</v>
      </c>
    </row>
    <row r="101" spans="1:9">
      <c r="A101" s="43">
        <v>119</v>
      </c>
      <c r="C101" s="261" t="s">
        <v>55</v>
      </c>
      <c r="D101" s="271"/>
      <c r="E101" s="279">
        <v>400</v>
      </c>
      <c r="F101" s="1">
        <v>133.20000000000002</v>
      </c>
      <c r="G101" s="1">
        <v>133.20000000000002</v>
      </c>
      <c r="H101" s="1">
        <v>133.6</v>
      </c>
    </row>
    <row r="102" spans="1:9">
      <c r="A102" s="43">
        <v>120</v>
      </c>
      <c r="C102" s="261" t="s">
        <v>99</v>
      </c>
      <c r="D102" s="271"/>
      <c r="E102" s="279">
        <v>700</v>
      </c>
      <c r="F102" s="1">
        <v>233.10000000000002</v>
      </c>
      <c r="G102" s="1">
        <v>233.10000000000002</v>
      </c>
      <c r="H102" s="1">
        <v>233.8</v>
      </c>
    </row>
    <row r="103" spans="1:9" ht="14" customHeight="1">
      <c r="C103" s="261" t="s">
        <v>116</v>
      </c>
      <c r="D103" s="271"/>
      <c r="E103" s="295">
        <v>925</v>
      </c>
      <c r="F103" s="1">
        <v>925</v>
      </c>
    </row>
    <row r="104" spans="1:9">
      <c r="C104" s="654" t="s">
        <v>191</v>
      </c>
      <c r="D104" s="654"/>
      <c r="E104" s="332">
        <v>11138</v>
      </c>
      <c r="F104" s="1">
        <v>3708.9540000000002</v>
      </c>
      <c r="G104" s="1">
        <v>3708.9540000000002</v>
      </c>
      <c r="H104" s="1">
        <v>3720.0920000000001</v>
      </c>
    </row>
    <row r="105" spans="1:9" ht="14.5" customHeight="1">
      <c r="A105" s="43">
        <v>123</v>
      </c>
      <c r="C105" s="261" t="s">
        <v>56</v>
      </c>
      <c r="D105" s="271"/>
      <c r="E105" s="295">
        <v>14502</v>
      </c>
      <c r="F105" s="1">
        <v>4829.1660000000002</v>
      </c>
      <c r="G105" s="1">
        <v>4829.1660000000002</v>
      </c>
      <c r="H105" s="1">
        <v>4843.6680000000006</v>
      </c>
    </row>
    <row r="106" spans="1:9" ht="14.4" customHeight="1">
      <c r="A106" s="43">
        <v>124</v>
      </c>
      <c r="C106" s="261" t="s">
        <v>57</v>
      </c>
      <c r="D106" s="271"/>
      <c r="E106" s="279">
        <v>3384</v>
      </c>
      <c r="F106" s="1">
        <v>1126.8720000000001</v>
      </c>
      <c r="G106" s="1">
        <v>1126.8720000000001</v>
      </c>
      <c r="H106" s="1">
        <v>1130.2560000000001</v>
      </c>
    </row>
    <row r="107" spans="1:9">
      <c r="A107" s="43">
        <v>125</v>
      </c>
      <c r="C107" s="261" t="s">
        <v>58</v>
      </c>
      <c r="D107" s="271"/>
      <c r="E107" s="55">
        <v>2000</v>
      </c>
      <c r="F107" s="1">
        <v>2000</v>
      </c>
    </row>
    <row r="108" spans="1:9" s="2" customFormat="1">
      <c r="A108" s="43">
        <v>127</v>
      </c>
      <c r="B108" s="24" t="s">
        <v>53</v>
      </c>
      <c r="C108" s="24"/>
      <c r="D108" s="24"/>
      <c r="E108" s="24">
        <v>102874</v>
      </c>
    </row>
    <row r="109" spans="1:9">
      <c r="A109" s="43">
        <v>128</v>
      </c>
      <c r="B109" s="24" t="s">
        <v>59</v>
      </c>
      <c r="C109" s="24"/>
      <c r="D109" s="24"/>
      <c r="E109" s="24">
        <v>326301.38049999997</v>
      </c>
    </row>
    <row r="110" spans="1:9" ht="8.25" customHeight="1">
      <c r="A110" s="43">
        <v>129</v>
      </c>
    </row>
    <row r="111" spans="1:9" ht="18.5">
      <c r="A111" s="43">
        <v>130</v>
      </c>
      <c r="B111" s="7" t="s">
        <v>60</v>
      </c>
    </row>
    <row r="112" spans="1:9">
      <c r="A112" s="43">
        <v>131</v>
      </c>
      <c r="B112" s="2" t="s">
        <v>61</v>
      </c>
    </row>
    <row r="113" spans="1:9" ht="14.4" customHeight="1">
      <c r="A113" s="43">
        <v>132</v>
      </c>
      <c r="C113" s="261" t="s">
        <v>63</v>
      </c>
      <c r="D113" s="271"/>
      <c r="E113" s="281">
        <v>10500</v>
      </c>
      <c r="I113" s="1">
        <v>10500</v>
      </c>
    </row>
    <row r="114" spans="1:9" ht="14.4" customHeight="1">
      <c r="A114" s="43">
        <v>133</v>
      </c>
      <c r="C114" s="261" t="s">
        <v>64</v>
      </c>
      <c r="D114" s="271"/>
      <c r="E114" s="279">
        <v>8160</v>
      </c>
      <c r="I114" s="1">
        <v>8160</v>
      </c>
    </row>
    <row r="115" spans="1:9">
      <c r="A115" s="43">
        <v>134</v>
      </c>
      <c r="C115" s="261" t="s">
        <v>65</v>
      </c>
      <c r="D115" s="271"/>
      <c r="E115" s="258">
        <v>4500</v>
      </c>
      <c r="I115" s="1">
        <v>4500</v>
      </c>
    </row>
    <row r="116" spans="1:9" ht="14.4" customHeight="1">
      <c r="A116" s="43">
        <v>135</v>
      </c>
      <c r="C116" s="261" t="s">
        <v>66</v>
      </c>
      <c r="D116" s="271"/>
      <c r="E116" s="258">
        <v>816</v>
      </c>
      <c r="I116" s="1">
        <v>816</v>
      </c>
    </row>
    <row r="117" spans="1:9" ht="14.4" customHeight="1">
      <c r="A117" s="43">
        <v>136</v>
      </c>
      <c r="C117" s="261" t="s">
        <v>67</v>
      </c>
      <c r="D117" s="271"/>
      <c r="E117" s="279">
        <v>300</v>
      </c>
      <c r="I117" s="1">
        <v>300</v>
      </c>
    </row>
    <row r="118" spans="1:9" ht="14.4" customHeight="1">
      <c r="A118" s="43">
        <v>137</v>
      </c>
      <c r="C118" s="261" t="s">
        <v>68</v>
      </c>
      <c r="D118" s="271"/>
      <c r="E118" s="279">
        <v>600</v>
      </c>
      <c r="I118" s="1">
        <v>600</v>
      </c>
    </row>
    <row r="119" spans="1:9" ht="14.4" customHeight="1">
      <c r="A119" s="43">
        <v>138</v>
      </c>
      <c r="C119" s="261" t="s">
        <v>104</v>
      </c>
      <c r="D119" s="271"/>
      <c r="E119" s="263">
        <v>4500</v>
      </c>
      <c r="I119" s="1">
        <v>4500</v>
      </c>
    </row>
    <row r="120" spans="1:9" s="2" customFormat="1">
      <c r="A120" s="43">
        <v>139</v>
      </c>
      <c r="B120" s="27" t="s">
        <v>69</v>
      </c>
      <c r="C120" s="27"/>
      <c r="D120" s="27"/>
      <c r="E120" s="27">
        <v>29376</v>
      </c>
    </row>
    <row r="121" spans="1:9" s="2" customFormat="1" ht="6.75" customHeight="1">
      <c r="A121" s="43">
        <v>140</v>
      </c>
      <c r="B121" s="15"/>
      <c r="C121" s="15"/>
      <c r="D121" s="15"/>
      <c r="E121" s="15"/>
    </row>
    <row r="122" spans="1:9">
      <c r="A122" s="43">
        <v>141</v>
      </c>
      <c r="B122" s="2" t="s">
        <v>70</v>
      </c>
    </row>
    <row r="123" spans="1:9">
      <c r="A123" s="43">
        <v>142</v>
      </c>
      <c r="C123" s="256" t="s">
        <v>71</v>
      </c>
      <c r="D123" s="268"/>
      <c r="E123" s="281">
        <v>16899.940000000002</v>
      </c>
      <c r="I123" s="1">
        <v>16899.940000000002</v>
      </c>
    </row>
    <row r="124" spans="1:9">
      <c r="A124" s="43">
        <v>143</v>
      </c>
      <c r="C124" s="261" t="s">
        <v>72</v>
      </c>
      <c r="D124" s="271"/>
      <c r="E124" s="258">
        <v>4500</v>
      </c>
      <c r="I124" s="1">
        <v>4500</v>
      </c>
    </row>
    <row r="125" spans="1:9">
      <c r="A125" s="43">
        <v>144</v>
      </c>
      <c r="C125" s="261" t="s">
        <v>97</v>
      </c>
      <c r="D125" s="271"/>
      <c r="E125" s="258">
        <v>4000</v>
      </c>
      <c r="I125" s="1">
        <v>4000</v>
      </c>
    </row>
    <row r="126" spans="1:9">
      <c r="A126" s="43">
        <v>145</v>
      </c>
      <c r="C126" s="654" t="s">
        <v>100</v>
      </c>
      <c r="D126" s="654"/>
      <c r="E126" s="279">
        <v>8000</v>
      </c>
      <c r="I126" s="1">
        <v>8000</v>
      </c>
    </row>
    <row r="127" spans="1:9">
      <c r="A127" s="43">
        <v>146</v>
      </c>
      <c r="C127" s="266" t="s">
        <v>73</v>
      </c>
      <c r="D127" s="274"/>
      <c r="E127" s="263">
        <v>8000</v>
      </c>
      <c r="I127" s="1">
        <v>8000</v>
      </c>
    </row>
    <row r="128" spans="1:9" s="2" customFormat="1">
      <c r="A128" s="43">
        <v>150</v>
      </c>
      <c r="B128" s="27" t="s">
        <v>75</v>
      </c>
      <c r="C128" s="27"/>
      <c r="D128" s="27"/>
      <c r="E128" s="27">
        <v>41399.94</v>
      </c>
    </row>
    <row r="129" spans="1:9">
      <c r="A129" s="43">
        <v>151</v>
      </c>
      <c r="B129" s="27" t="s">
        <v>76</v>
      </c>
      <c r="C129" s="27"/>
      <c r="D129" s="27"/>
      <c r="E129" s="27">
        <v>70775.94</v>
      </c>
    </row>
    <row r="130" spans="1:9" ht="4.5" customHeight="1">
      <c r="A130" s="43">
        <v>152</v>
      </c>
    </row>
    <row r="131" spans="1:9" ht="18.5">
      <c r="A131" s="43">
        <v>153</v>
      </c>
      <c r="B131" s="7" t="s">
        <v>77</v>
      </c>
    </row>
    <row r="132" spans="1:9">
      <c r="A132" s="43">
        <v>154</v>
      </c>
      <c r="B132" s="2" t="s">
        <v>78</v>
      </c>
    </row>
    <row r="133" spans="1:9">
      <c r="A133" s="43">
        <v>156</v>
      </c>
      <c r="C133" s="261" t="s">
        <v>152</v>
      </c>
      <c r="D133" s="271"/>
      <c r="E133" s="279">
        <v>12000</v>
      </c>
    </row>
    <row r="134" spans="1:9">
      <c r="A134" s="43">
        <v>157</v>
      </c>
      <c r="C134" s="261" t="s">
        <v>157</v>
      </c>
      <c r="D134" s="271"/>
      <c r="E134" s="279">
        <v>521</v>
      </c>
    </row>
    <row r="135" spans="1:9" s="2" customFormat="1">
      <c r="A135" s="43">
        <v>159</v>
      </c>
      <c r="B135" s="29" t="s">
        <v>81</v>
      </c>
      <c r="C135" s="29"/>
      <c r="D135" s="29"/>
      <c r="E135" s="29">
        <v>12521</v>
      </c>
    </row>
    <row r="136" spans="1:9" ht="7.5" customHeight="1">
      <c r="A136" s="43">
        <v>160</v>
      </c>
      <c r="D136" s="1"/>
    </row>
    <row r="137" spans="1:9">
      <c r="A137" s="43">
        <v>161</v>
      </c>
      <c r="B137" s="31" t="s">
        <v>82</v>
      </c>
      <c r="C137" s="32"/>
      <c r="D137" s="32"/>
      <c r="E137" s="31">
        <v>513453.32049999997</v>
      </c>
    </row>
    <row r="138" spans="1:9">
      <c r="A138" s="43">
        <v>162</v>
      </c>
      <c r="B138" s="31" t="s">
        <v>83</v>
      </c>
      <c r="C138" s="32"/>
      <c r="D138" s="32"/>
      <c r="E138" s="31">
        <v>-153</v>
      </c>
    </row>
    <row r="139" spans="1:9" ht="15" thickBot="1"/>
    <row r="140" spans="1:9">
      <c r="B140" s="107" t="s">
        <v>168</v>
      </c>
      <c r="C140" s="108"/>
      <c r="D140" s="108"/>
      <c r="E140" s="110">
        <v>513300</v>
      </c>
    </row>
    <row r="141" spans="1:9">
      <c r="B141" s="114" t="s">
        <v>160</v>
      </c>
      <c r="C141" s="102"/>
      <c r="D141" s="102"/>
      <c r="E141" s="104">
        <v>500932.32049999997</v>
      </c>
      <c r="F141" s="426">
        <v>164734.65720000005</v>
      </c>
      <c r="G141" s="426">
        <v>103945.78110000001</v>
      </c>
      <c r="H141" s="426">
        <v>128013.94220000002</v>
      </c>
      <c r="I141" s="426">
        <v>104240.94</v>
      </c>
    </row>
    <row r="142" spans="1:9" ht="15" thickBot="1">
      <c r="B142" s="116" t="s">
        <v>169</v>
      </c>
      <c r="C142" s="117"/>
      <c r="D142" s="117"/>
      <c r="E142" s="120">
        <v>12367.679500000027</v>
      </c>
    </row>
    <row r="146" spans="1:4">
      <c r="D146" s="77"/>
    </row>
    <row r="148" spans="1:4">
      <c r="A148" s="1"/>
      <c r="B148" s="1"/>
    </row>
    <row r="149" spans="1:4">
      <c r="A149" s="1"/>
      <c r="B149" s="1"/>
    </row>
    <row r="150" spans="1:4">
      <c r="A150" s="1"/>
      <c r="B150" s="1"/>
    </row>
    <row r="151" spans="1:4">
      <c r="A151" s="1"/>
      <c r="B151" s="1"/>
    </row>
    <row r="152" spans="1:4">
      <c r="A152" s="1"/>
      <c r="B152" s="1"/>
    </row>
    <row r="153" spans="1:4">
      <c r="A153" s="1"/>
      <c r="B153" s="1"/>
    </row>
    <row r="154" spans="1:4">
      <c r="A154" s="1"/>
      <c r="B154" s="1"/>
    </row>
    <row r="155" spans="1:4">
      <c r="A155" s="1"/>
      <c r="B155" s="1"/>
    </row>
    <row r="156" spans="1:4">
      <c r="A156" s="1"/>
      <c r="B156" s="1"/>
    </row>
    <row r="157" spans="1:4">
      <c r="A157" s="1"/>
      <c r="B157" s="1"/>
    </row>
    <row r="158" spans="1:4">
      <c r="A158" s="1"/>
      <c r="B158" s="1"/>
    </row>
    <row r="159" spans="1:4">
      <c r="A159" s="1"/>
      <c r="B159" s="1"/>
    </row>
    <row r="160" spans="1:4">
      <c r="A160" s="1"/>
      <c r="B160" s="1"/>
    </row>
    <row r="161" spans="1:2">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9</vt:i4>
      </vt:variant>
      <vt:variant>
        <vt:lpstr>Charts</vt:lpstr>
      </vt:variant>
      <vt:variant>
        <vt:i4>1</vt:i4>
      </vt:variant>
      <vt:variant>
        <vt:lpstr>Named Ranges</vt:lpstr>
      </vt:variant>
      <vt:variant>
        <vt:i4>4</vt:i4>
      </vt:variant>
    </vt:vector>
  </HeadingPairs>
  <TitlesOfParts>
    <vt:vector size="14" baseType="lpstr">
      <vt:lpstr>Top Sheet</vt:lpstr>
      <vt:lpstr>Summary New Year</vt:lpstr>
      <vt:lpstr>New Year-Full Year</vt:lpstr>
      <vt:lpstr>Benevolence</vt:lpstr>
      <vt:lpstr>Pastor</vt:lpstr>
      <vt:lpstr>Assoc. Pastor</vt:lpstr>
      <vt:lpstr>Band and Other Music</vt:lpstr>
      <vt:lpstr>Rates</vt:lpstr>
      <vt:lpstr>Expenses</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2020-01-24T20:01:05Z</cp:lastPrinted>
  <dcterms:created xsi:type="dcterms:W3CDTF">2011-12-01T18:07:46Z</dcterms:created>
  <dcterms:modified xsi:type="dcterms:W3CDTF">2020-01-30T16:58:58Z</dcterms:modified>
</cp:coreProperties>
</file>